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ycloudpr2100\пдо учет\ММЗ\Проект 12560\"/>
    </mc:Choice>
  </mc:AlternateContent>
  <xr:revisionPtr revIDLastSave="0" documentId="13_ncr:1_{1578B23A-4C8D-41D8-B18A-8683A97B6338}" xr6:coauthVersionLast="47" xr6:coauthVersionMax="47" xr10:uidLastSave="{00000000-0000-0000-0000-000000000000}"/>
  <bookViews>
    <workbookView xWindow="28680" yWindow="-225" windowWidth="29040" windowHeight="16440" xr2:uid="{00000000-000D-0000-FFFF-FFFF00000000}"/>
  </bookViews>
  <sheets>
    <sheet name="Проект 12560" sheetId="3" r:id="rId1"/>
    <sheet name="Проект 12560 (2)" sheetId="5" r:id="rId2"/>
    <sheet name="Лист1" sheetId="4" r:id="rId3"/>
    <sheet name="Лист2" sheetId="6" r:id="rId4"/>
  </sheets>
  <definedNames>
    <definedName name="_xlnm._FilterDatabase" localSheetId="2" hidden="1">Лист1!$A$1:$I$95</definedName>
    <definedName name="_xlnm._FilterDatabase" localSheetId="3" hidden="1">Лист2!$I$1:$AE$139</definedName>
    <definedName name="_xlnm._FilterDatabase" localSheetId="0" hidden="1">'Проект 12560'!$A$1:$AJ$139</definedName>
    <definedName name="ExternalData_1" localSheetId="1" hidden="1">'Проект 12560 (2)'!$A$1:$F$97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3" i="3" l="1"/>
  <c r="R63" i="3"/>
  <c r="S63" i="3"/>
  <c r="T63" i="3"/>
  <c r="U63" i="3"/>
  <c r="Q64" i="3"/>
  <c r="R64" i="3"/>
  <c r="S64" i="3"/>
  <c r="T64" i="3"/>
  <c r="U64" i="3"/>
  <c r="Q65" i="3"/>
  <c r="R65" i="3"/>
  <c r="S65" i="3"/>
  <c r="T65" i="3"/>
  <c r="U65" i="3"/>
  <c r="Q66" i="3"/>
  <c r="R66" i="3"/>
  <c r="S66" i="3"/>
  <c r="T66" i="3"/>
  <c r="U66" i="3"/>
  <c r="Q67" i="3"/>
  <c r="R67" i="3"/>
  <c r="S67" i="3"/>
  <c r="T67" i="3"/>
  <c r="U67" i="3"/>
  <c r="Q57" i="3"/>
  <c r="R57" i="3"/>
  <c r="S57" i="3"/>
  <c r="T57" i="3"/>
  <c r="U57" i="3"/>
  <c r="Q58" i="3"/>
  <c r="R58" i="3"/>
  <c r="S58" i="3"/>
  <c r="T58" i="3"/>
  <c r="U58" i="3"/>
  <c r="Q59" i="3"/>
  <c r="R59" i="3"/>
  <c r="S59" i="3"/>
  <c r="T59" i="3"/>
  <c r="U59" i="3"/>
  <c r="Q60" i="3"/>
  <c r="R60" i="3"/>
  <c r="S60" i="3"/>
  <c r="T60" i="3"/>
  <c r="U60" i="3"/>
  <c r="Q50" i="3"/>
  <c r="R50" i="3"/>
  <c r="S50" i="3"/>
  <c r="T50" i="3"/>
  <c r="U50" i="3"/>
  <c r="Q51" i="3"/>
  <c r="R51" i="3"/>
  <c r="S51" i="3"/>
  <c r="T51" i="3"/>
  <c r="U51" i="3"/>
  <c r="Q52" i="3"/>
  <c r="R52" i="3"/>
  <c r="S52" i="3"/>
  <c r="T52" i="3"/>
  <c r="U52" i="3"/>
  <c r="Q53" i="3"/>
  <c r="R53" i="3"/>
  <c r="S53" i="3"/>
  <c r="T53" i="3"/>
  <c r="U53" i="3"/>
  <c r="Q54" i="3"/>
  <c r="R54" i="3"/>
  <c r="S54" i="3"/>
  <c r="T54" i="3"/>
  <c r="U54" i="3"/>
  <c r="Q35" i="3"/>
  <c r="R35" i="3"/>
  <c r="S35" i="3"/>
  <c r="T35" i="3"/>
  <c r="U35" i="3"/>
  <c r="Q36" i="3"/>
  <c r="R36" i="3"/>
  <c r="S36" i="3"/>
  <c r="T36" i="3"/>
  <c r="U36" i="3"/>
  <c r="Q37" i="3"/>
  <c r="R37" i="3"/>
  <c r="S37" i="3"/>
  <c r="T37" i="3"/>
  <c r="U37" i="3"/>
  <c r="Q38" i="3"/>
  <c r="R38" i="3"/>
  <c r="S38" i="3"/>
  <c r="T38" i="3"/>
  <c r="U38" i="3"/>
  <c r="Q39" i="3"/>
  <c r="R39" i="3"/>
  <c r="S39" i="3"/>
  <c r="T39" i="3"/>
  <c r="U39" i="3"/>
  <c r="Q40" i="3"/>
  <c r="R40" i="3"/>
  <c r="S40" i="3"/>
  <c r="T40" i="3"/>
  <c r="U40" i="3"/>
  <c r="Q41" i="3"/>
  <c r="R41" i="3"/>
  <c r="S41" i="3"/>
  <c r="T41" i="3"/>
  <c r="U41" i="3"/>
  <c r="Q42" i="3"/>
  <c r="R42" i="3"/>
  <c r="S42" i="3"/>
  <c r="T42" i="3"/>
  <c r="U42" i="3"/>
  <c r="Q24" i="3"/>
  <c r="R24" i="3"/>
  <c r="S24" i="3"/>
  <c r="T24" i="3"/>
  <c r="U24" i="3"/>
  <c r="Q25" i="3"/>
  <c r="R25" i="3"/>
  <c r="S25" i="3"/>
  <c r="T25" i="3"/>
  <c r="U25" i="3"/>
  <c r="Q26" i="3"/>
  <c r="R26" i="3"/>
  <c r="S26" i="3"/>
  <c r="T26" i="3"/>
  <c r="U26" i="3"/>
  <c r="Q27" i="3"/>
  <c r="R27" i="3"/>
  <c r="S27" i="3"/>
  <c r="T27" i="3"/>
  <c r="U27" i="3"/>
  <c r="Q28" i="3"/>
  <c r="R28" i="3"/>
  <c r="S28" i="3"/>
  <c r="T28" i="3"/>
  <c r="U28" i="3"/>
  <c r="Q29" i="3"/>
  <c r="R29" i="3"/>
  <c r="S29" i="3"/>
  <c r="T29" i="3"/>
  <c r="U29" i="3"/>
  <c r="Q30" i="3"/>
  <c r="R30" i="3"/>
  <c r="S30" i="3"/>
  <c r="T30" i="3"/>
  <c r="U30" i="3"/>
  <c r="Q31" i="3"/>
  <c r="R31" i="3"/>
  <c r="S31" i="3"/>
  <c r="T31" i="3"/>
  <c r="U31" i="3"/>
  <c r="Q32" i="3"/>
  <c r="R32" i="3"/>
  <c r="S32" i="3"/>
  <c r="T32" i="3"/>
  <c r="U32" i="3"/>
  <c r="Q11" i="3"/>
  <c r="R11" i="3"/>
  <c r="S11" i="3"/>
  <c r="T11" i="3"/>
  <c r="U11" i="3"/>
  <c r="Q12" i="3"/>
  <c r="R12" i="3"/>
  <c r="S12" i="3"/>
  <c r="T12" i="3"/>
  <c r="U12" i="3"/>
  <c r="Q13" i="3"/>
  <c r="R13" i="3"/>
  <c r="S13" i="3"/>
  <c r="T13" i="3"/>
  <c r="U13" i="3"/>
  <c r="Q14" i="3"/>
  <c r="R14" i="3"/>
  <c r="S14" i="3"/>
  <c r="T14" i="3"/>
  <c r="U14" i="3"/>
  <c r="Q15" i="3"/>
  <c r="R15" i="3"/>
  <c r="S15" i="3"/>
  <c r="T15" i="3"/>
  <c r="U15" i="3"/>
  <c r="Q16" i="3"/>
  <c r="R16" i="3"/>
  <c r="S16" i="3"/>
  <c r="T16" i="3"/>
  <c r="U16" i="3"/>
  <c r="Q17" i="3"/>
  <c r="R17" i="3"/>
  <c r="S17" i="3"/>
  <c r="T17" i="3"/>
  <c r="U17" i="3"/>
  <c r="Q18" i="3"/>
  <c r="R18" i="3"/>
  <c r="S18" i="3"/>
  <c r="T18" i="3"/>
  <c r="U18" i="3"/>
  <c r="Q19" i="3"/>
  <c r="R19" i="3"/>
  <c r="S19" i="3"/>
  <c r="T19" i="3"/>
  <c r="U19" i="3"/>
  <c r="Q20" i="3"/>
  <c r="R20" i="3"/>
  <c r="S20" i="3"/>
  <c r="T20" i="3"/>
  <c r="U20" i="3"/>
  <c r="Q21" i="3"/>
  <c r="R21" i="3"/>
  <c r="S21" i="3"/>
  <c r="T21" i="3"/>
  <c r="U21" i="3"/>
  <c r="Q4" i="3"/>
  <c r="R4" i="3"/>
  <c r="S4" i="3"/>
  <c r="T4" i="3"/>
  <c r="U4" i="3"/>
  <c r="Q5" i="3"/>
  <c r="R5" i="3"/>
  <c r="S5" i="3"/>
  <c r="T5" i="3"/>
  <c r="U5" i="3"/>
  <c r="Q6" i="3"/>
  <c r="R6" i="3"/>
  <c r="S6" i="3"/>
  <c r="T6" i="3"/>
  <c r="U6" i="3"/>
  <c r="Q7" i="3"/>
  <c r="R7" i="3"/>
  <c r="S7" i="3"/>
  <c r="T7" i="3"/>
  <c r="U7" i="3"/>
  <c r="Q8" i="3"/>
  <c r="R8" i="3"/>
  <c r="S8" i="3"/>
  <c r="T8" i="3"/>
  <c r="U8" i="3"/>
  <c r="V49" i="3"/>
  <c r="V44" i="3"/>
  <c r="V34" i="3"/>
  <c r="U62" i="3"/>
  <c r="U56" i="3"/>
  <c r="U49" i="3"/>
  <c r="U44" i="3"/>
  <c r="U34" i="3"/>
  <c r="U23" i="3"/>
  <c r="U10" i="3"/>
  <c r="U3" i="3"/>
  <c r="T62" i="3"/>
  <c r="T56" i="3"/>
  <c r="T49" i="3"/>
  <c r="T44" i="3"/>
  <c r="T34" i="3"/>
  <c r="T23" i="3"/>
  <c r="T10" i="3"/>
  <c r="T3" i="3"/>
  <c r="S62" i="3"/>
  <c r="S56" i="3"/>
  <c r="S49" i="3"/>
  <c r="S44" i="3"/>
  <c r="S34" i="3"/>
  <c r="S23" i="3"/>
  <c r="S10" i="3"/>
  <c r="S3" i="3"/>
  <c r="R62" i="3"/>
  <c r="R56" i="3"/>
  <c r="R49" i="3"/>
  <c r="R44" i="3"/>
  <c r="R34" i="3"/>
  <c r="R23" i="3"/>
  <c r="R10" i="3"/>
  <c r="R3" i="3"/>
  <c r="Q62" i="3"/>
  <c r="Q56" i="3"/>
  <c r="Q49" i="3"/>
  <c r="Q44" i="3"/>
  <c r="Q34" i="3"/>
  <c r="Q23" i="3"/>
  <c r="Q10" i="3"/>
  <c r="Q3" i="3"/>
  <c r="V139" i="3"/>
  <c r="V138" i="3"/>
  <c r="V137" i="3"/>
  <c r="V136" i="3"/>
  <c r="V135" i="3"/>
  <c r="V134" i="3"/>
  <c r="V133" i="3"/>
  <c r="V132" i="3"/>
  <c r="V131" i="3"/>
  <c r="V130" i="3"/>
  <c r="V129" i="3"/>
  <c r="V128" i="3"/>
  <c r="V127" i="3"/>
  <c r="V126" i="3"/>
  <c r="V125" i="3"/>
  <c r="V124" i="3"/>
  <c r="V123" i="3"/>
  <c r="V122" i="3"/>
  <c r="V121" i="3"/>
  <c r="V119" i="3"/>
  <c r="V118" i="3"/>
  <c r="V117" i="3"/>
  <c r="V116" i="3"/>
  <c r="V115" i="3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6" i="3"/>
  <c r="V85" i="3"/>
  <c r="V84" i="3"/>
  <c r="V83" i="3"/>
  <c r="V82" i="3"/>
  <c r="V81" i="3"/>
  <c r="V80" i="3"/>
  <c r="V78" i="3"/>
  <c r="V77" i="3"/>
  <c r="V76" i="3"/>
  <c r="V75" i="3"/>
  <c r="V74" i="3"/>
  <c r="V73" i="3"/>
  <c r="V72" i="3"/>
  <c r="V71" i="3"/>
  <c r="V70" i="3"/>
  <c r="V69" i="3"/>
  <c r="V61" i="3"/>
  <c r="V63" i="3" s="1"/>
  <c r="V55" i="3"/>
  <c r="V58" i="3" s="1"/>
  <c r="V48" i="3"/>
  <c r="V51" i="3" s="1"/>
  <c r="V43" i="3"/>
  <c r="V33" i="3"/>
  <c r="V35" i="3" s="1"/>
  <c r="V22" i="3"/>
  <c r="V24" i="3" s="1"/>
  <c r="V9" i="3"/>
  <c r="V10" i="3" s="1"/>
  <c r="V2" i="3"/>
  <c r="V3" i="3" s="1"/>
  <c r="L70" i="3"/>
  <c r="L4" i="3"/>
  <c r="L3" i="3"/>
  <c r="V23" i="3" l="1"/>
  <c r="V7" i="3"/>
  <c r="V5" i="3"/>
  <c r="V21" i="3"/>
  <c r="V19" i="3"/>
  <c r="V17" i="3"/>
  <c r="V15" i="3"/>
  <c r="V13" i="3"/>
  <c r="V11" i="3"/>
  <c r="V31" i="3"/>
  <c r="V29" i="3"/>
  <c r="V27" i="3"/>
  <c r="V25" i="3"/>
  <c r="V42" i="3"/>
  <c r="V40" i="3"/>
  <c r="V38" i="3"/>
  <c r="V36" i="3"/>
  <c r="V54" i="3"/>
  <c r="V52" i="3"/>
  <c r="V50" i="3"/>
  <c r="V59" i="3"/>
  <c r="V57" i="3"/>
  <c r="V66" i="3"/>
  <c r="V64" i="3"/>
  <c r="V56" i="3"/>
  <c r="V62" i="3"/>
  <c r="V8" i="3"/>
  <c r="V6" i="3"/>
  <c r="V4" i="3"/>
  <c r="V20" i="3"/>
  <c r="V18" i="3"/>
  <c r="V16" i="3"/>
  <c r="V14" i="3"/>
  <c r="V12" i="3"/>
  <c r="V32" i="3"/>
  <c r="V30" i="3"/>
  <c r="V28" i="3"/>
  <c r="V26" i="3"/>
  <c r="V41" i="3"/>
  <c r="V39" i="3"/>
  <c r="V37" i="3"/>
  <c r="V53" i="3"/>
  <c r="V60" i="3"/>
  <c r="V67" i="3"/>
  <c r="V65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67" i="3"/>
  <c r="L66" i="3"/>
  <c r="L65" i="3"/>
  <c r="L64" i="3"/>
  <c r="L63" i="3"/>
  <c r="L62" i="3"/>
  <c r="M61" i="3"/>
  <c r="L61" i="3"/>
  <c r="L57" i="3"/>
  <c r="M55" i="3"/>
  <c r="L55" i="3"/>
  <c r="M48" i="3"/>
  <c r="L48" i="3"/>
  <c r="L46" i="3"/>
  <c r="L45" i="3"/>
  <c r="L44" i="3"/>
  <c r="M43" i="3"/>
  <c r="L43" i="3"/>
  <c r="L37" i="3"/>
  <c r="L36" i="3"/>
  <c r="L35" i="3"/>
  <c r="L34" i="3"/>
  <c r="M33" i="3"/>
  <c r="L33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26" i="3"/>
  <c r="L25" i="3"/>
  <c r="L24" i="3"/>
  <c r="L23" i="3"/>
  <c r="M22" i="3"/>
  <c r="L22" i="3"/>
  <c r="L86" i="3"/>
  <c r="L85" i="3"/>
  <c r="L84" i="3"/>
  <c r="L83" i="3"/>
  <c r="L82" i="3"/>
  <c r="L81" i="3"/>
  <c r="L80" i="3"/>
  <c r="M9" i="3"/>
  <c r="L9" i="3"/>
  <c r="L78" i="3"/>
  <c r="L77" i="3"/>
  <c r="L76" i="3"/>
  <c r="L75" i="3"/>
  <c r="L74" i="3"/>
  <c r="L73" i="3"/>
  <c r="L72" i="3"/>
  <c r="L71" i="3"/>
  <c r="L69" i="3"/>
  <c r="L5" i="3"/>
  <c r="M2" i="3"/>
  <c r="L2" i="3"/>
  <c r="B99" i="6"/>
  <c r="B88" i="6"/>
  <c r="B57" i="6"/>
  <c r="B55" i="6"/>
  <c r="B48" i="6"/>
  <c r="B38" i="6"/>
  <c r="B23" i="6"/>
  <c r="B15" i="6"/>
  <c r="B11" i="6"/>
  <c r="B8" i="6"/>
  <c r="B4" i="6"/>
  <c r="B105" i="6"/>
  <c r="B104" i="6"/>
  <c r="B103" i="6"/>
  <c r="B102" i="6"/>
  <c r="B101" i="6"/>
  <c r="B100" i="6"/>
  <c r="B98" i="6"/>
  <c r="B97" i="6"/>
  <c r="B96" i="6"/>
  <c r="B95" i="6"/>
  <c r="B94" i="6"/>
  <c r="B93" i="6"/>
  <c r="B92" i="6"/>
  <c r="B91" i="6"/>
  <c r="B90" i="6"/>
  <c r="B89" i="6"/>
  <c r="B87" i="6"/>
  <c r="B86" i="6"/>
  <c r="B85" i="6"/>
  <c r="B84" i="6"/>
  <c r="B83" i="6"/>
  <c r="B82" i="6"/>
  <c r="B81" i="6"/>
  <c r="C80" i="6"/>
  <c r="B80" i="6"/>
  <c r="B79" i="6"/>
  <c r="C77" i="6"/>
  <c r="B77" i="6"/>
  <c r="C74" i="6"/>
  <c r="B74" i="6"/>
  <c r="B73" i="6"/>
  <c r="B72" i="6"/>
  <c r="B71" i="6"/>
  <c r="C70" i="6"/>
  <c r="B70" i="6"/>
  <c r="B68" i="6"/>
  <c r="B67" i="6"/>
  <c r="B66" i="6"/>
  <c r="B65" i="6"/>
  <c r="C64" i="6"/>
  <c r="B64" i="6"/>
  <c r="B63" i="6"/>
  <c r="B62" i="6"/>
  <c r="B61" i="6"/>
  <c r="B60" i="6"/>
  <c r="B59" i="6"/>
  <c r="B58" i="6"/>
  <c r="B56" i="6"/>
  <c r="B54" i="6"/>
  <c r="B53" i="6"/>
  <c r="B52" i="6"/>
  <c r="B51" i="6"/>
  <c r="B50" i="6"/>
  <c r="B49" i="6"/>
  <c r="B47" i="6"/>
  <c r="B46" i="6"/>
  <c r="B45" i="6"/>
  <c r="B44" i="6"/>
  <c r="B43" i="6"/>
  <c r="B42" i="6"/>
  <c r="B41" i="6"/>
  <c r="B40" i="6"/>
  <c r="B39" i="6"/>
  <c r="B37" i="6"/>
  <c r="B36" i="6"/>
  <c r="B35" i="6"/>
  <c r="B34" i="6"/>
  <c r="B33" i="6"/>
  <c r="B32" i="6"/>
  <c r="B31" i="6"/>
  <c r="B30" i="6"/>
  <c r="B29" i="6"/>
  <c r="B28" i="6"/>
  <c r="C27" i="6"/>
  <c r="B27" i="6"/>
  <c r="B26" i="6"/>
  <c r="B25" i="6"/>
  <c r="B24" i="6"/>
  <c r="B22" i="6"/>
  <c r="B21" i="6"/>
  <c r="B20" i="6"/>
  <c r="C17" i="6"/>
  <c r="B17" i="6"/>
  <c r="B16" i="6"/>
  <c r="B14" i="6"/>
  <c r="B13" i="6"/>
  <c r="B12" i="6"/>
  <c r="B10" i="6"/>
  <c r="B9" i="6"/>
  <c r="B7" i="6"/>
  <c r="B5" i="6"/>
  <c r="B3" i="6"/>
  <c r="C2" i="6"/>
  <c r="B2" i="6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I71" i="4"/>
  <c r="H71" i="4"/>
  <c r="H70" i="4"/>
  <c r="I68" i="4"/>
  <c r="H68" i="4"/>
  <c r="I66" i="4"/>
  <c r="H66" i="4"/>
  <c r="H65" i="4"/>
  <c r="H64" i="4"/>
  <c r="H63" i="4"/>
  <c r="I61" i="4"/>
  <c r="H61" i="4"/>
  <c r="H60" i="4"/>
  <c r="H59" i="4"/>
  <c r="H58" i="4"/>
  <c r="H57" i="4"/>
  <c r="H56" i="4"/>
  <c r="I56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I22" i="4"/>
  <c r="H20" i="4"/>
  <c r="H19" i="4"/>
  <c r="H18" i="4"/>
  <c r="H17" i="4"/>
  <c r="H16" i="4"/>
  <c r="H15" i="4"/>
  <c r="H14" i="4"/>
  <c r="I14" i="4"/>
  <c r="H12" i="4"/>
  <c r="H11" i="4"/>
  <c r="H10" i="4"/>
  <c r="H9" i="4"/>
  <c r="H8" i="4"/>
  <c r="H7" i="4"/>
  <c r="H6" i="4"/>
  <c r="H5" i="4"/>
  <c r="H4" i="4"/>
  <c r="I2" i="4"/>
  <c r="H2" i="4"/>
  <c r="G72" i="4"/>
  <c r="G69" i="4"/>
  <c r="G67" i="4"/>
  <c r="G62" i="4"/>
  <c r="G55" i="4"/>
  <c r="G21" i="4"/>
  <c r="G13" i="4"/>
  <c r="G3" i="4"/>
  <c r="G4" i="4"/>
  <c r="G5" i="4"/>
  <c r="G6" i="4"/>
  <c r="G7" i="4"/>
  <c r="G8" i="4"/>
  <c r="G9" i="4"/>
  <c r="G10" i="4"/>
  <c r="G11" i="4"/>
  <c r="G12" i="4"/>
  <c r="G14" i="4"/>
  <c r="G15" i="4"/>
  <c r="G16" i="4"/>
  <c r="G17" i="4"/>
  <c r="G18" i="4"/>
  <c r="G19" i="4"/>
  <c r="G20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6" i="4"/>
  <c r="G57" i="4"/>
  <c r="G58" i="4"/>
  <c r="G59" i="4"/>
  <c r="G60" i="4"/>
  <c r="G61" i="4"/>
  <c r="G63" i="4"/>
  <c r="G64" i="4"/>
  <c r="G65" i="4"/>
  <c r="G66" i="4"/>
  <c r="G68" i="4"/>
  <c r="G70" i="4"/>
  <c r="G71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2" i="4"/>
  <c r="B122" i="3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89" i="3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33" i="3" s="1"/>
  <c r="B83" i="3"/>
  <c r="B84" i="3" s="1"/>
  <c r="B85" i="3" s="1"/>
  <c r="B86" i="3" s="1"/>
  <c r="B22" i="3" s="1"/>
  <c r="B81" i="3"/>
  <c r="B70" i="3"/>
  <c r="B71" i="3" s="1"/>
  <c r="B72" i="3" s="1"/>
  <c r="B73" i="3" s="1"/>
  <c r="B74" i="3" s="1"/>
  <c r="B75" i="3" s="1"/>
  <c r="B76" i="3" s="1"/>
  <c r="B77" i="3" s="1"/>
  <c r="B78" i="3" s="1"/>
  <c r="B9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OK 2791 00 00 00СБ_Кассета" description="Соединение с запросом &quot;OK 2791 00 00 00СБ_Кассета&quot; в книге." type="5" refreshedVersion="8" background="1" saveData="1">
    <dbPr connection="Provider=Microsoft.Mashup.OleDb.1;Data Source=$Workbook$;Location=&quot;OK 2791 00 00 00СБ_Кассета&quot;;Extended Properties=&quot;&quot;" command="SELECT * FROM [OK 2791 00 00 00СБ_Кассета]"/>
  </connection>
  <connection id="2" xr16:uid="{00000000-0015-0000-FFFF-FFFF01000000}" keepAlive="1" name="Запрос — Кассета ОК 1410 01 00 00 СБ" description="Соединение с запросом &quot;Кассета ОК 1410 01 00 00 СБ&quot; в книге." type="5" refreshedVersion="0" background="1">
    <dbPr connection="Provider=Microsoft.Mashup.OleDb.1;Data Source=$Workbook$;Location=&quot;Кассета ОК 1410 01 00 00 СБ&quot;;Extended Properties=&quot;&quot;" command="SELECT * FROM [Кассета ОК 1410 01 00 00 СБ]"/>
  </connection>
  <connection id="3" xr16:uid="{F8501133-3821-4767-BEAC-EE76CEB1BECC}" keepAlive="1" name="Запрос — МТ ТО 002-004 00 Стенка силовая" description="Соединение с запросом &quot;МТ ТО 002-004 00 Стенка силовая&quot; в книге." type="5" refreshedVersion="6" background="1" saveData="1">
    <dbPr connection="Provider=Microsoft.Mashup.OleDb.1;Data Source=$Workbook$;Location=МТ ТО 002-004 00 Стенка силовая;Extended Properties=&quot;&quot;" command="SELECT * FROM [МТ ТО 002-004 00 Стенка силовая]"/>
  </connection>
  <connection id="4" xr16:uid="{00000000-0015-0000-FFFF-FFFF02000000}" keepAlive="1" name="Запрос — МТ ТО 002-005 00  - Стойка силовая 3м" description="Соединение с запросом &quot;МТ ТО 002-005 00  - Стойка силовая 3м&quot; в книге." type="5" refreshedVersion="8" background="1" saveData="1">
    <dbPr connection="Provider=Microsoft.Mashup.OleDb.1;Data Source=$Workbook$;Location=&quot;МТ ТО 002-005 00  - Стойка силовая 3м&quot;;Extended Properties=&quot;&quot;" command="SELECT * FROM [МТ ТО 002-005 00  - Стойка силовая 3м]"/>
  </connection>
  <connection id="5" xr16:uid="{00000000-0015-0000-FFFF-FFFF03000000}" keepAlive="1" name="Запрос — О-26" description="Соединение с запросом &quot;О-26&quot; в книге." type="5" refreshedVersion="8" background="1" saveData="1">
    <dbPr connection="Provider=Microsoft.Mashup.OleDb.1;Data Source=$Workbook$;Location=О-26;Extended Properties=&quot;&quot;" command="SELECT * FROM [О-26]"/>
  </connection>
  <connection id="6" xr16:uid="{00000000-0015-0000-FFFF-FFFF04000000}" keepAlive="1" name="Запрос — ОК 1410 00 00 00 СБ Прессформа" description="Соединение с запросом &quot;ОК 1410 00 00 00 СБ Прессформа&quot; в книге." type="5" refreshedVersion="8" background="1" saveData="1">
    <dbPr connection="Provider=Microsoft.Mashup.OleDb.1;Data Source=$Workbook$;Location=&quot;ОК 1410 00 00 00 СБ Прессформа&quot;;Extended Properties=&quot;&quot;" command="SELECT * FROM [ОК 1410 00 00 00 СБ Прессформа]"/>
  </connection>
  <connection id="7" xr16:uid="{00000000-0015-0000-FFFF-FFFF05000000}" keepAlive="1" name="Запрос — ОК 2929 04 00 00 СБ Касета КМ4" description="Соединение с запросом &quot;ОК 2929 04 00 00 СБ Касета КМ4&quot; в книге." type="5" refreshedVersion="0" background="1">
    <dbPr connection="Provider=Microsoft.Mashup.OleDb.1;Data Source=$Workbook$;Location=&quot;ОК 2929 04 00 00 СБ Касета КМ4&quot;;Extended Properties=&quot;&quot;" command="SELECT * FROM [ОК 2929 04 00 00 СБ Касета КМ4]"/>
  </connection>
  <connection id="8" xr16:uid="{00000000-0015-0000-FFFF-FFFF06000000}" keepAlive="1" name="Запрос — ОК 3142 06 00 00 - Барабан с кассетами" description="Соединение с запросом &quot;ОК 3142 06 00 00 - Барабан с кассетами&quot; в книге." type="5" refreshedVersion="8" background="1" saveData="1">
    <dbPr connection="Provider=Microsoft.Mashup.OleDb.1;Data Source=$Workbook$;Location=&quot;ОК 3142 06 00 00 - Барабан с кассетами&quot;;Extended Properties=&quot;&quot;" command="SELECT * FROM [ОК 3142 06 00 00 - Барабан с кассетами]"/>
  </connection>
  <connection id="9" xr16:uid="{00000000-0015-0000-FFFF-FFFF07000000}" keepAlive="1" name="Запрос — ОК1410 34 00 00 СБ Сборка кассеты на испытание" description="Соединение с запросом &quot;ОК1410 34 00 00 СБ Сборка кассеты на испытание&quot; в книге." type="5" refreshedVersion="0" background="1">
    <dbPr connection="Provider=Microsoft.Mashup.OleDb.1;Data Source=$Workbook$;Location=&quot;ОК1410 34 00 00 СБ Сборка кассеты на испытание&quot;;Extended Properties=&quot;&quot;" command="SELECT * FROM [ОК1410 34 00 00 СБ Сборка кассеты на испытание]"/>
  </connection>
  <connection id="10" xr16:uid="{00000000-0015-0000-FFFF-FFFF08000000}" keepAlive="1" name="Запрос — ОК579 14 00 00" description="Соединение с запросом &quot;ОК579 14 00 00&quot; в книге." type="5" refreshedVersion="8" background="1" saveData="1">
    <dbPr connection="Provider=Microsoft.Mashup.OleDb.1;Data Source=$Workbook$;Location=&quot;ОК579 14 00 00&quot;;Extended Properties=&quot;&quot;" command="SELECT * FROM [ОК579 14 00 00]"/>
  </connection>
  <connection id="11" xr16:uid="{5AFF73B1-248F-4077-9EE9-9F8D9829EC62}" keepAlive="1" name="Запрос — Проект 12560" description="Соединение с запросом &quot;Проект 12560&quot; в книге." type="5" refreshedVersion="8" background="1" saveData="1">
    <dbPr connection="Provider=Microsoft.Mashup.OleDb.1;Data Source=$Workbook$;Location=&quot;Проект 12560&quot;;Extended Properties=&quot;&quot;" command="SELECT * FROM [Проект 12560]"/>
  </connection>
</connections>
</file>

<file path=xl/sharedStrings.xml><?xml version="1.0" encoding="utf-8"?>
<sst xmlns="http://schemas.openxmlformats.org/spreadsheetml/2006/main" count="2039" uniqueCount="341">
  <si>
    <t>Наименование</t>
  </si>
  <si>
    <t>Покрытие</t>
  </si>
  <si>
    <t>СТИ</t>
  </si>
  <si>
    <t>Поз.</t>
  </si>
  <si>
    <t>Обозначение</t>
  </si>
  <si>
    <t>Применяемость на 1 изделие</t>
  </si>
  <si>
    <t>Масса ед изд.  , кг</t>
  </si>
  <si>
    <t>Масса ед. заг., кг</t>
  </si>
  <si>
    <t>Масса заг. на изделие, кг</t>
  </si>
  <si>
    <t>Термообработка</t>
  </si>
  <si>
    <t>Кол-во на план</t>
  </si>
  <si>
    <t>Масса заг. на план, кг</t>
  </si>
  <si>
    <t>Длина заг, мм</t>
  </si>
  <si>
    <t>Ширина заг, мм</t>
  </si>
  <si>
    <t>Масса Т.О. на изделие, кг</t>
  </si>
  <si>
    <t>Применяемость по СП</t>
  </si>
  <si>
    <t>Масса покрытия на изделие, кг</t>
  </si>
  <si>
    <t>Код</t>
  </si>
  <si>
    <t>Маркировка</t>
  </si>
  <si>
    <t>УЗК</t>
  </si>
  <si>
    <t>Мех. сво-ва,</t>
  </si>
  <si>
    <t>МПДС</t>
  </si>
  <si>
    <t>12560.016.00СБ</t>
  </si>
  <si>
    <t>Хомут</t>
  </si>
  <si>
    <t>12560.016.01-03</t>
  </si>
  <si>
    <t>Валик</t>
  </si>
  <si>
    <t>12560.016.01-05</t>
  </si>
  <si>
    <t>12560.016.02</t>
  </si>
  <si>
    <t>Шпилька</t>
  </si>
  <si>
    <t>12560.016.03</t>
  </si>
  <si>
    <t>Лента</t>
  </si>
  <si>
    <t>12560.017.01</t>
  </si>
  <si>
    <t>Кронштейн</t>
  </si>
  <si>
    <t>12560.140.01</t>
  </si>
  <si>
    <t>Кронштейн Термостата</t>
  </si>
  <si>
    <t>12560.142.03</t>
  </si>
  <si>
    <t>Уголок</t>
  </si>
  <si>
    <t>12560.142.03-01</t>
  </si>
  <si>
    <t>12560.142.04</t>
  </si>
  <si>
    <t>12560.205.02</t>
  </si>
  <si>
    <t>Гайка</t>
  </si>
  <si>
    <t>12560.209.01</t>
  </si>
  <si>
    <t>Крюк</t>
  </si>
  <si>
    <t>12560.209.01-01</t>
  </si>
  <si>
    <t>12560.210.02</t>
  </si>
  <si>
    <t>12560.213.00СБ</t>
  </si>
  <si>
    <t>Крышка люка</t>
  </si>
  <si>
    <t>БЧ</t>
  </si>
  <si>
    <t>Прокладка</t>
  </si>
  <si>
    <t>12560.222.02</t>
  </si>
  <si>
    <t>Накладка</t>
  </si>
  <si>
    <t>12560.222.03</t>
  </si>
  <si>
    <t>12560.240.06</t>
  </si>
  <si>
    <t>12560.240.06-01</t>
  </si>
  <si>
    <t>12560.243.01</t>
  </si>
  <si>
    <t>12560.245.01</t>
  </si>
  <si>
    <t>Кронштейн привода</t>
  </si>
  <si>
    <t>12560.245.02</t>
  </si>
  <si>
    <t>Кронштейн киля</t>
  </si>
  <si>
    <t>12560.247.00СБ</t>
  </si>
  <si>
    <t>Площадка</t>
  </si>
  <si>
    <t>12560.247.03</t>
  </si>
  <si>
    <t>12560.247.05</t>
  </si>
  <si>
    <t>12560.247.06</t>
  </si>
  <si>
    <t>Профиль</t>
  </si>
  <si>
    <t>12560.247.08</t>
  </si>
  <si>
    <t>12560.248.12</t>
  </si>
  <si>
    <t>Тройник</t>
  </si>
  <si>
    <t>12560.248.13</t>
  </si>
  <si>
    <t>Переходник</t>
  </si>
  <si>
    <t>12560.248.15</t>
  </si>
  <si>
    <t>12560.248.16</t>
  </si>
  <si>
    <t>Патрубок</t>
  </si>
  <si>
    <t>12560.249.01</t>
  </si>
  <si>
    <t>12560.250.03</t>
  </si>
  <si>
    <t>12560.250.03-01</t>
  </si>
  <si>
    <t>12560.252.01</t>
  </si>
  <si>
    <t>Пластина</t>
  </si>
  <si>
    <t>12560.252.03</t>
  </si>
  <si>
    <t>Плунжер</t>
  </si>
  <si>
    <t>12560.252.04</t>
  </si>
  <si>
    <t>Штифт</t>
  </si>
  <si>
    <t>12560.253.01</t>
  </si>
  <si>
    <t>Втулка</t>
  </si>
  <si>
    <t>12560.253.02</t>
  </si>
  <si>
    <t>12560.254.02</t>
  </si>
  <si>
    <t>Вставка</t>
  </si>
  <si>
    <t>12560.254.03</t>
  </si>
  <si>
    <t>12560.256.01</t>
  </si>
  <si>
    <t>Ось</t>
  </si>
  <si>
    <t>12560.256.02</t>
  </si>
  <si>
    <t>Руль</t>
  </si>
  <si>
    <t>12560.256.02-01</t>
  </si>
  <si>
    <t>12560.257.01</t>
  </si>
  <si>
    <t>12560.257.02</t>
  </si>
  <si>
    <t>12560.259.04</t>
  </si>
  <si>
    <t>Вставка верхняя</t>
  </si>
  <si>
    <t>12560.259.05</t>
  </si>
  <si>
    <t>Пластина крепежная</t>
  </si>
  <si>
    <t>12560.261.06</t>
  </si>
  <si>
    <t>Груз</t>
  </si>
  <si>
    <t>12560.271.03</t>
  </si>
  <si>
    <t>12560.271.03-01</t>
  </si>
  <si>
    <t>12560.271.04</t>
  </si>
  <si>
    <t>12560.271.04-01</t>
  </si>
  <si>
    <t>12560.271.05</t>
  </si>
  <si>
    <t>Шайба</t>
  </si>
  <si>
    <t>12560.280.02</t>
  </si>
  <si>
    <t>12560.280.03</t>
  </si>
  <si>
    <t>Болт</t>
  </si>
  <si>
    <t>12560.280.04</t>
  </si>
  <si>
    <t>Проставка</t>
  </si>
  <si>
    <t>12560.280.05</t>
  </si>
  <si>
    <t>12560.280.08</t>
  </si>
  <si>
    <t>Ограничитель</t>
  </si>
  <si>
    <t>12560.282.00СБ</t>
  </si>
  <si>
    <t>12560.282.01</t>
  </si>
  <si>
    <t>12560.282.02</t>
  </si>
  <si>
    <t>Упор</t>
  </si>
  <si>
    <t>12560.282.03</t>
  </si>
  <si>
    <t>12560.282.04</t>
  </si>
  <si>
    <t>Пружина</t>
  </si>
  <si>
    <t>Демпфер</t>
  </si>
  <si>
    <t>12560.283.00СБ</t>
  </si>
  <si>
    <t>Тяга</t>
  </si>
  <si>
    <t>12560.283.01</t>
  </si>
  <si>
    <t>Вилка</t>
  </si>
  <si>
    <t>12560.283.02</t>
  </si>
  <si>
    <t>12560.283.03</t>
  </si>
  <si>
    <t>12560.284.00СБ</t>
  </si>
  <si>
    <t>Страховочный болт</t>
  </si>
  <si>
    <t>Флажок</t>
  </si>
  <si>
    <t>Кольцо</t>
  </si>
  <si>
    <t>12560.285.00СБ</t>
  </si>
  <si>
    <t>Чека</t>
  </si>
  <si>
    <t>12560.285.01</t>
  </si>
  <si>
    <t>12560.286.00СБ</t>
  </si>
  <si>
    <t>Фиксатор крыла</t>
  </si>
  <si>
    <t>12560.286.01</t>
  </si>
  <si>
    <t>12560.286.02</t>
  </si>
  <si>
    <t>12560.286.03</t>
  </si>
  <si>
    <t>12560.286.04</t>
  </si>
  <si>
    <t>12560.286.05</t>
  </si>
  <si>
    <t>12560.286.06</t>
  </si>
  <si>
    <t>12560.295.01</t>
  </si>
  <si>
    <t>Кронштейн двигателя</t>
  </si>
  <si>
    <t>12560.295.01-01</t>
  </si>
  <si>
    <t>12560.298.07</t>
  </si>
  <si>
    <t>Рамка центральная</t>
  </si>
  <si>
    <t>12560.298.08</t>
  </si>
  <si>
    <t>Рамка боковая</t>
  </si>
  <si>
    <t>12560.320.02</t>
  </si>
  <si>
    <t>Кронштейн разъемов</t>
  </si>
  <si>
    <t>12560.320.03</t>
  </si>
  <si>
    <t>Кронштейн разъема привода</t>
  </si>
  <si>
    <t>12560.320.07</t>
  </si>
  <si>
    <t>12560.338.01</t>
  </si>
  <si>
    <t>12560.340.03</t>
  </si>
  <si>
    <t>12560.340.04</t>
  </si>
  <si>
    <t>12560.370.05</t>
  </si>
  <si>
    <t>Труба</t>
  </si>
  <si>
    <t>12560.370.06</t>
  </si>
  <si>
    <t>12560.370.06-01</t>
  </si>
  <si>
    <t>12560.370.07</t>
  </si>
  <si>
    <t>12560.370.15</t>
  </si>
  <si>
    <t>Втулка дроссельная</t>
  </si>
  <si>
    <t>12560.381.02</t>
  </si>
  <si>
    <t>12560.383.01</t>
  </si>
  <si>
    <t>12560.388.02</t>
  </si>
  <si>
    <t>12560.388.03</t>
  </si>
  <si>
    <t>СБ</t>
  </si>
  <si>
    <t>Д</t>
  </si>
  <si>
    <t>Д СЕ</t>
  </si>
  <si>
    <t>Name</t>
  </si>
  <si>
    <t>Extension</t>
  </si>
  <si>
    <t>Date accessed</t>
  </si>
  <si>
    <t>Date modified</t>
  </si>
  <si>
    <t>Date created</t>
  </si>
  <si>
    <t>Folder Path</t>
  </si>
  <si>
    <t>12560.016.00 СБ Хомут (А4х3).pdf</t>
  </si>
  <si>
    <t>.pdf</t>
  </si>
  <si>
    <t>\\mycloudpr2100\ПДО учет\ММЗ\Проект 12560\</t>
  </si>
  <si>
    <t>12560.016.00 Хомут (А4).pdf</t>
  </si>
  <si>
    <t>12560.016.01 Валик (А4).pdf</t>
  </si>
  <si>
    <t>12560.016.02 Шпилька (А4).pdf</t>
  </si>
  <si>
    <t>12560.017.01 Кронштейн (А2).pdf</t>
  </si>
  <si>
    <t>12560.140.01 Кронтейн термостата (А3).pdf</t>
  </si>
  <si>
    <t>12560.142.03 Уголок (А4).pdf</t>
  </si>
  <si>
    <t>12560.142.04 Кронштейн (А3х3).pdf</t>
  </si>
  <si>
    <t>12560.205.02 Гайка (А4).pdf</t>
  </si>
  <si>
    <t>12560.209.01 Крюк (А2).pdf</t>
  </si>
  <si>
    <t>12560.210.02 Уголок (А3).pdf</t>
  </si>
  <si>
    <t>12560.213.00 Крышка люка (А4).pdf</t>
  </si>
  <si>
    <t>12560.213.00 СБ Крышка люка (А3х3).pdf</t>
  </si>
  <si>
    <t>12560.222.02 Накладка (А3).pdf</t>
  </si>
  <si>
    <t>12560.222.03 Накладка (А3).pdf</t>
  </si>
  <si>
    <t>12560.240.06 Кронштейн (А2).pdf</t>
  </si>
  <si>
    <t>12560.243.01 Кронштейн (А4х3).pdf</t>
  </si>
  <si>
    <t>12560.245.01 Кронштейн привода (А4х3).pdf</t>
  </si>
  <si>
    <t>12560.245.02 Кронштейн киля (А4х3).pdf</t>
  </si>
  <si>
    <t>12560.247.00 Площадка (А4).pdf</t>
  </si>
  <si>
    <t>12560.247.00 СБ Площадка (А4х4).pdf</t>
  </si>
  <si>
    <t>12560.247.03 Уголок (А4).pdf</t>
  </si>
  <si>
    <t>12560.247.05 Уголок (А4).pdf</t>
  </si>
  <si>
    <t>12560.247.06 Профиль (А4).pdf</t>
  </si>
  <si>
    <t>12560.247.08 Кронштейн (А4).pdf</t>
  </si>
  <si>
    <t>12560.248.12 Тройник (А4).pdf</t>
  </si>
  <si>
    <t>12560.248.13 Переходник (А3).pdf</t>
  </si>
  <si>
    <t>12560.248.15 Кронштейн (А4).pdf</t>
  </si>
  <si>
    <t>12560.248.16 Патрубок (А4).pdf</t>
  </si>
  <si>
    <t>12560.249.01 Кронштейн (А3).pdf</t>
  </si>
  <si>
    <t>12560.250.03 Накладка (А3).pdf</t>
  </si>
  <si>
    <t>12560.252.01 Пластина (А3).pdf</t>
  </si>
  <si>
    <t>12560.252.03 Плунжер (А4).pdf</t>
  </si>
  <si>
    <t>12560.252.04 Штифт (А4).pdf</t>
  </si>
  <si>
    <t>12560.253.01 Втулка (А4).pdf</t>
  </si>
  <si>
    <t>12560.253.02 Пластина (А3).pdf</t>
  </si>
  <si>
    <t>12560.254.02 Вставка (А2).pdf</t>
  </si>
  <si>
    <t>12560.254.03 Вставка (А2).pdf</t>
  </si>
  <si>
    <t>12560.256.01 Ось (А4).pdf</t>
  </si>
  <si>
    <t>12560.256.02 Руль (А4х3).pdf</t>
  </si>
  <si>
    <t>12560.257.01 Пластина (А3).pdf</t>
  </si>
  <si>
    <t>12560.257.02 Профиль (А3).pdf</t>
  </si>
  <si>
    <t>12560.259.04 Вставка верхняя (А4х3).pdf</t>
  </si>
  <si>
    <t>12560.259.05 Пластина крепежная (А4).pdf</t>
  </si>
  <si>
    <t>12560.261.06 Груз (А4).pdf</t>
  </si>
  <si>
    <t>12560.271.03 Накладка (А2).pdf</t>
  </si>
  <si>
    <t>12560.271.04 Накладка (А2).pdf</t>
  </si>
  <si>
    <t>12560.271.05 Шайба (А4).pdf</t>
  </si>
  <si>
    <t>12560.280.02 Хомут (А4х3).pdf</t>
  </si>
  <si>
    <t>12560.280.03 Болт (А4).pdf</t>
  </si>
  <si>
    <t>12560.280.04 Проставка (А4).pdf</t>
  </si>
  <si>
    <t>12560.280.05 Проставка (А4).pdf</t>
  </si>
  <si>
    <t>12560.280.08 Ограничитель (А4х4).pdf</t>
  </si>
  <si>
    <t>12560.282.00 Кронштейн (А4).pdf</t>
  </si>
  <si>
    <t>12560.282.00 СБ Кронштейн (А4х3).pdf</t>
  </si>
  <si>
    <t>12560.282.01 Кронштейн (А1).pdf</t>
  </si>
  <si>
    <t>12560.282.02 Упор (А3).pdf</t>
  </si>
  <si>
    <t>12560.282.03 Ось (А4).pdf</t>
  </si>
  <si>
    <t>12560.282.04 Пружина (А3).pdf</t>
  </si>
  <si>
    <t>12560.283.00 СБ Тяга (А3).pdf</t>
  </si>
  <si>
    <t>12560.283.00 Тяга (А4).pdf</t>
  </si>
  <si>
    <t>12560.283.01 Вилка (А4х3).pdf</t>
  </si>
  <si>
    <t>12560.283.02 Гайка (А4).pdf</t>
  </si>
  <si>
    <t>12560.283.03 Тяга (А4х3).pdf</t>
  </si>
  <si>
    <t>12560.284.00 СБ Страховочный болт (4х3).pdf</t>
  </si>
  <si>
    <t>12560.284.00 Страховочный болт (А4).pdf</t>
  </si>
  <si>
    <t>12560.285.00 СБ Чека (А3).pdf</t>
  </si>
  <si>
    <t>12560.285.00 Чека (А4).pdf</t>
  </si>
  <si>
    <t>12560.285.01 Чека (А3).pdf</t>
  </si>
  <si>
    <t>12560.286.00 СБ Фиксатор крыла (А2).pdf</t>
  </si>
  <si>
    <t>12560.286.00-Фиксатор крыла.pdf</t>
  </si>
  <si>
    <t>12560.286.01 Кронштейн (А4х3).pdf</t>
  </si>
  <si>
    <t>12560.286.02 Упор (А2).pdf</t>
  </si>
  <si>
    <t>12560.286.03 Пружина (А2).pdf</t>
  </si>
  <si>
    <t>12560.286.04 Втулка (А3).pdf</t>
  </si>
  <si>
    <t>12560.286.05 Пружина (А2).pdf</t>
  </si>
  <si>
    <t>12560.286.06 Болт (А3).pdf</t>
  </si>
  <si>
    <t>12560.295.01 Кронштейн двигателя (А4х3).pdf</t>
  </si>
  <si>
    <t>12560.298.07 Рамка центральная (А3).pdf</t>
  </si>
  <si>
    <t>12560.298.08 Рамка боковая (А3).pdf</t>
  </si>
  <si>
    <t>12560.320.02 Кронштейн разъемов двигателя (А2).pdf</t>
  </si>
  <si>
    <t>12560.320.03 Кронштейн разьема привода (А3).pdf</t>
  </si>
  <si>
    <t>12560.320.07 Кронштейн (А3).pdf</t>
  </si>
  <si>
    <t>12560.338.01 Пластина (А3).pdf</t>
  </si>
  <si>
    <t>12560.340.03 Кольцо (А4).pdf</t>
  </si>
  <si>
    <t>12560.340.04 Шайба (А4).pdf</t>
  </si>
  <si>
    <t>12560.370.05 Труба (А3).pdf</t>
  </si>
  <si>
    <t>12560.370.06 Кронштейн (А3).pdf</t>
  </si>
  <si>
    <t>12560.370.07 Хомут (А3).pdf</t>
  </si>
  <si>
    <t>12560.370.15 Втулка дроссельная (А4).pdf</t>
  </si>
  <si>
    <t>12560.381.02 Гайка (А4).pdf</t>
  </si>
  <si>
    <t>12560.383.01 Кронштейн (А3).pdf</t>
  </si>
  <si>
    <t>12560.388.02 Прокладка (А4).pdf</t>
  </si>
  <si>
    <t>12560.388.03 Прокладка (А4).pdf</t>
  </si>
  <si>
    <t>~$Проект 12560.xlsx</t>
  </si>
  <si>
    <t>.xlsx</t>
  </si>
  <si>
    <t>Проект 12560.xlsx</t>
  </si>
  <si>
    <t>12560.016.01</t>
  </si>
  <si>
    <t>Кронтейн термостата</t>
  </si>
  <si>
    <t>Кронштейн разъемов двигателя</t>
  </si>
  <si>
    <t>Кронштейн разьема привода</t>
  </si>
  <si>
    <t>ГИПЕРССЫЛКА("</t>
  </si>
  <si>
    <t>";"</t>
  </si>
  <si>
    <t>")</t>
  </si>
  <si>
    <t>12560.016.00СП</t>
  </si>
  <si>
    <t>12560.213.00СП</t>
  </si>
  <si>
    <t>12560.247.00СП</t>
  </si>
  <si>
    <t>12560.282.00СП</t>
  </si>
  <si>
    <t>12560.283.00СП</t>
  </si>
  <si>
    <t>12560.284.00СП</t>
  </si>
  <si>
    <t>12560.285.00СП</t>
  </si>
  <si>
    <t>12560.286.00СП</t>
  </si>
  <si>
    <t>12560.016.03 БЧ</t>
  </si>
  <si>
    <t>Заклепка 3-7-Хим. Пас-ОСТ 1 34097-80</t>
  </si>
  <si>
    <t>Мат</t>
  </si>
  <si>
    <t>Грунтовка ЭП-0215 ТУ 6-10-1966-84</t>
  </si>
  <si>
    <t>?</t>
  </si>
  <si>
    <t>12560.213.01 БЧ</t>
  </si>
  <si>
    <t>12560.213.02 БЧ</t>
  </si>
  <si>
    <t>Винт 4-14-Ц-ОСТ 1 31502-80</t>
  </si>
  <si>
    <t>Винт 5-20-Ц-ОСТ 1 31502-80</t>
  </si>
  <si>
    <t>Гайка 5-Кд-ОСТ 1 33055-80</t>
  </si>
  <si>
    <t>Шайба 0,5-4-8-Хим.Пас-ОСТ 1 34508-80</t>
  </si>
  <si>
    <t>Шайба 0,5-5-10-Хим.Пас-ОСТ 1 34508-80</t>
  </si>
  <si>
    <t>Герметик ВЭР-1 ТУ 1-595-28-1732-2024</t>
  </si>
  <si>
    <t>Грунтовка ЭП-0215</t>
  </si>
  <si>
    <t>Клей ВКР-16 ТУ 38 1051081-83 Допуск. замена на клей ЭЦА-РТ ТУ 2345-461-00208947-2006</t>
  </si>
  <si>
    <t>Гайка 4-Кд-ОСТ 1 33080-80 Допуск. замена Гайка 4-Кд-ОСТ 1 11364-73; Гайка 4-Хим.Пас-ОСТ 1 11367-73</t>
  </si>
  <si>
    <t>Заклепка 2,6-8-Ан.Окс-ОСТ 1 34087-80 Допуск. замена Заклепка 2,6-6-Ан.Окс-ОСТ 1 34087-80</t>
  </si>
  <si>
    <t>Гайка 5-Кд-ОСТ 1 33260-89</t>
  </si>
  <si>
    <t>Заклепка 2,6-7-Ан.Окс-ОСТ 1 34087-80</t>
  </si>
  <si>
    <t>Заклепка DIN 7337-А4х8-А2-А2</t>
  </si>
  <si>
    <t>Шайба 1-4-8-Ц-ОСТ 1 34507-80</t>
  </si>
  <si>
    <t>Грунтовка ЭП-0215 ТУ 2312-040-21743165-2011</t>
  </si>
  <si>
    <t>Винт 4-6-Ц-ОСТ 1 51529-80 Допуск. Замена Винт DIN 7985-
М4х5</t>
  </si>
  <si>
    <t>12560.282.05 БЧ</t>
  </si>
  <si>
    <t>Шайба 0,5-4-7-Хим.Пас-ОСТ 1 34508-80</t>
  </si>
  <si>
    <t>Шайба 2-Ц-ОСТ 1 34520-80</t>
  </si>
  <si>
    <t>Смазка ВНИИНР-286М (Эра) ТУ 38.101950</t>
  </si>
  <si>
    <t>Клей 88-НП ТУ 38 105540-85</t>
  </si>
  <si>
    <t>Шайба 8-Хим.Пас-ОСТ 1 34527-80</t>
  </si>
  <si>
    <t>12560.284.02 БЧ</t>
  </si>
  <si>
    <t>12560.284.01 БЧ</t>
  </si>
  <si>
    <t>Болт 8-52-Хим.Пас-ОСТ 1 31128-80</t>
  </si>
  <si>
    <t xml:space="preserve">Краска ТНПФ-84, белая ТУ 29.02.889-93 Допуск. замен. На Краска белая
45971-84 ОСТ 1 90210-85
</t>
  </si>
  <si>
    <t>Нить полиамидная 3Ккр, красная ОСТ 17-330-2002</t>
  </si>
  <si>
    <t>Нить полиамидная 3Ккр, белая ОСТ 17-330-2002</t>
  </si>
  <si>
    <t>12560.285.02 БЧ</t>
  </si>
  <si>
    <t>Краска ТНПФ-84, белая ТУ 29.02.889-93  Допуск. замен. Краска белая 45971-84 ОСТ 1 90210-85</t>
  </si>
  <si>
    <t>Горев</t>
  </si>
  <si>
    <t>А</t>
  </si>
  <si>
    <t>Аутсорсинг</t>
  </si>
  <si>
    <t>Г</t>
  </si>
  <si>
    <t>12560.017.01-01</t>
  </si>
  <si>
    <t>№ п/п</t>
  </si>
  <si>
    <t>Чертеж</t>
  </si>
  <si>
    <t>наименование</t>
  </si>
  <si>
    <t>График поставки, штук</t>
  </si>
  <si>
    <t>Цена за 1 шт, рублей с учетом НДС</t>
  </si>
  <si>
    <t>Итого,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</si>
</sst>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8"/>
      <name val="Times New Roman"/>
      <family val="1"/>
      <charset val="204"/>
    </font>
    <font>
      <b/>
      <sz val="8"/>
      <color theme="1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3" fillId="0" borderId="0" xfId="1"/>
    <xf numFmtId="4" fontId="7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4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left" vertical="center"/>
    </xf>
    <xf numFmtId="4" fontId="15" fillId="0" borderId="1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16" fillId="0" borderId="1" xfId="0" applyFont="1" applyBorder="1" applyAlignment="1">
      <alignment horizontal="center"/>
    </xf>
    <xf numFmtId="22" fontId="0" fillId="0" borderId="0" xfId="0" applyNumberFormat="1"/>
    <xf numFmtId="0" fontId="3" fillId="0" borderId="1" xfId="1" applyBorder="1"/>
    <xf numFmtId="0" fontId="3" fillId="0" borderId="0" xfId="1" applyBorder="1"/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3" fillId="2" borderId="1" xfId="1" applyFill="1" applyBorder="1"/>
    <xf numFmtId="4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3" fillId="2" borderId="0" xfId="1" applyFill="1" applyBorder="1"/>
    <xf numFmtId="0" fontId="0" fillId="0" borderId="0" xfId="0" applyBorder="1"/>
    <xf numFmtId="0" fontId="4" fillId="0" borderId="0" xfId="0" applyFont="1" applyBorder="1" applyAlignment="1">
      <alignment vertical="top" wrapText="1"/>
    </xf>
    <xf numFmtId="17" fontId="0" fillId="0" borderId="0" xfId="0" applyNumberFormat="1"/>
    <xf numFmtId="0" fontId="1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top"/>
    </xf>
    <xf numFmtId="0" fontId="17" fillId="2" borderId="1" xfId="0" applyFont="1" applyFill="1" applyBorder="1"/>
    <xf numFmtId="0" fontId="20" fillId="2" borderId="1" xfId="1" applyFont="1" applyFill="1" applyBorder="1"/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left" vertical="center"/>
    </xf>
    <xf numFmtId="4" fontId="21" fillId="2" borderId="1" xfId="0" applyNumberFormat="1" applyFont="1" applyFill="1" applyBorder="1" applyAlignment="1">
      <alignment vertical="center"/>
    </xf>
    <xf numFmtId="49" fontId="21" fillId="2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0" fontId="20" fillId="0" borderId="1" xfId="1" applyFont="1" applyBorder="1"/>
    <xf numFmtId="0" fontId="17" fillId="0" borderId="1" xfId="0" applyFont="1" applyBorder="1"/>
    <xf numFmtId="4" fontId="8" fillId="0" borderId="1" xfId="0" applyNumberFormat="1" applyFont="1" applyBorder="1" applyAlignment="1">
      <alignment vertical="center"/>
    </xf>
    <xf numFmtId="0" fontId="21" fillId="0" borderId="1" xfId="0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left" vertical="center"/>
    </xf>
    <xf numFmtId="4" fontId="21" fillId="0" borderId="1" xfId="0" applyNumberFormat="1" applyFont="1" applyBorder="1" applyAlignment="1">
      <alignment vertical="center"/>
    </xf>
    <xf numFmtId="49" fontId="21" fillId="0" borderId="1" xfId="0" applyNumberFormat="1" applyFont="1" applyBorder="1" applyAlignment="1">
      <alignment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5050"/>
      <color rgb="FFFF9999"/>
      <color rgb="FFECD9FF"/>
      <color rgb="FFC29FD1"/>
      <color rgb="FFB18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BE453DCB-4B5D-4114-BC26-A9F145150B08}" autoFormatId="16" applyNumberFormats="0" applyBorderFormats="0" applyFontFormats="0" applyPatternFormats="0" applyAlignmentFormats="0" applyWidthHeightFormats="0">
  <queryTableRefresh nextId="7">
    <queryTableFields count="6">
      <queryTableField id="1" name="Name" tableColumnId="1"/>
      <queryTableField id="2" name="Extension" tableColumnId="2"/>
      <queryTableField id="3" name="Date accessed" tableColumnId="3"/>
      <queryTableField id="4" name="Date modified" tableColumnId="4"/>
      <queryTableField id="5" name="Date created" tableColumnId="5"/>
      <queryTableField id="6" name="Folder Path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E922E5-5708-4DA9-8334-1DAA92233084}" name="Проект_12560" displayName="Проект_12560" ref="A1:F97" tableType="queryTable" totalsRowShown="0">
  <autoFilter ref="A1:F97" xr:uid="{64E922E5-5708-4DA9-8334-1DAA92233084}"/>
  <tableColumns count="6">
    <tableColumn id="1" xr3:uid="{5C90BA60-C7E1-4B93-937B-0835EBEF44FC}" uniqueName="1" name="Name" queryTableFieldId="1" dataDxfId="13"/>
    <tableColumn id="2" xr3:uid="{E9E194C5-275E-4FA3-9DED-F26D2D89CDB5}" uniqueName="2" name="Extension" queryTableFieldId="2" dataDxfId="12"/>
    <tableColumn id="3" xr3:uid="{98CEC2A8-8589-458A-AD15-90A591CF44C9}" uniqueName="3" name="Date accessed" queryTableFieldId="3" dataDxfId="11"/>
    <tableColumn id="4" xr3:uid="{7B7BAF1C-FC04-4048-9714-05ED52EC2785}" uniqueName="4" name="Date modified" queryTableFieldId="4" dataDxfId="10"/>
    <tableColumn id="5" xr3:uid="{348310F5-C354-42A6-ABFD-BD9034DC1D79}" uniqueName="5" name="Date created" queryTableFieldId="5" dataDxfId="9"/>
    <tableColumn id="6" xr3:uid="{11014739-F6F7-4028-A23D-754DDA23B2D6}" uniqueName="6" name="Folder Path" queryTableFieldId="6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J139"/>
  <sheetViews>
    <sheetView tabSelected="1" zoomScaleNormal="100" workbookViewId="0">
      <pane ySplit="1" topLeftCell="A3" activePane="bottomLeft" state="frozen"/>
      <selection pane="bottomLeft" activeCell="L144" sqref="L144"/>
    </sheetView>
  </sheetViews>
  <sheetFormatPr defaultRowHeight="15" x14ac:dyDescent="0.25"/>
  <cols>
    <col min="1" max="1" width="3.85546875" style="52" customWidth="1"/>
    <col min="2" max="5" width="5.140625" customWidth="1"/>
    <col min="6" max="6" width="6" style="3" customWidth="1"/>
    <col min="7" max="11" width="4" style="4" customWidth="1"/>
    <col min="12" max="12" width="24.28515625" style="2" customWidth="1"/>
    <col min="13" max="13" width="29" style="2" customWidth="1"/>
    <col min="14" max="16" width="5.85546875" style="5" hidden="1" customWidth="1"/>
    <col min="23" max="23" width="8" style="6" customWidth="1"/>
    <col min="24" max="24" width="7.140625" style="6" customWidth="1"/>
    <col min="25" max="25" width="9" style="7" customWidth="1"/>
    <col min="26" max="26" width="12.140625" style="8" customWidth="1"/>
    <col min="27" max="27" width="10.28515625" style="8" customWidth="1"/>
    <col min="28" max="28" width="11.85546875" style="8" customWidth="1"/>
    <col min="29" max="29" width="10.28515625" style="8" customWidth="1"/>
    <col min="30" max="30" width="11" style="8" customWidth="1"/>
    <col min="31" max="31" width="11.28515625" style="21" customWidth="1"/>
    <col min="32" max="32" width="17.28515625" style="10" customWidth="1"/>
    <col min="33" max="33" width="14.5703125" style="23" customWidth="1"/>
    <col min="34" max="34" width="14.5703125" style="24" customWidth="1"/>
    <col min="35" max="35" width="25.42578125" style="8" customWidth="1"/>
    <col min="36" max="36" width="42.85546875" style="1" customWidth="1"/>
  </cols>
  <sheetData>
    <row r="1" spans="1:36" s="19" customFormat="1" ht="66.75" customHeight="1" x14ac:dyDescent="0.25">
      <c r="A1" s="51">
        <v>1</v>
      </c>
      <c r="B1" s="11" t="s">
        <v>17</v>
      </c>
      <c r="C1" s="11" t="s">
        <v>330</v>
      </c>
      <c r="D1" s="11" t="s">
        <v>332</v>
      </c>
      <c r="E1" s="11"/>
      <c r="F1" s="12" t="s">
        <v>2</v>
      </c>
      <c r="G1" s="13" t="s">
        <v>3</v>
      </c>
      <c r="H1" s="13" t="s">
        <v>3</v>
      </c>
      <c r="I1" s="13" t="s">
        <v>3</v>
      </c>
      <c r="J1" s="13" t="s">
        <v>3</v>
      </c>
      <c r="K1" s="13" t="s">
        <v>3</v>
      </c>
      <c r="L1" s="14" t="s">
        <v>4</v>
      </c>
      <c r="M1" s="14" t="s">
        <v>0</v>
      </c>
      <c r="N1" s="15" t="s">
        <v>10</v>
      </c>
      <c r="O1" s="15" t="s">
        <v>15</v>
      </c>
      <c r="P1" s="15" t="s">
        <v>5</v>
      </c>
      <c r="Q1" s="78">
        <v>46357</v>
      </c>
      <c r="R1" s="78">
        <v>46388</v>
      </c>
      <c r="S1" s="78">
        <v>46419</v>
      </c>
      <c r="T1" s="78">
        <v>46447</v>
      </c>
      <c r="U1" s="78">
        <v>46478</v>
      </c>
      <c r="V1" s="79" t="s">
        <v>340</v>
      </c>
      <c r="W1" s="16" t="s">
        <v>12</v>
      </c>
      <c r="X1" s="16" t="s">
        <v>13</v>
      </c>
      <c r="Y1" s="18" t="s">
        <v>6</v>
      </c>
      <c r="Z1" s="18" t="s">
        <v>7</v>
      </c>
      <c r="AA1" s="18" t="s">
        <v>8</v>
      </c>
      <c r="AB1" s="18" t="s">
        <v>11</v>
      </c>
      <c r="AC1" s="18" t="s">
        <v>14</v>
      </c>
      <c r="AD1" s="18" t="s">
        <v>16</v>
      </c>
      <c r="AE1" s="20" t="s">
        <v>19</v>
      </c>
      <c r="AF1" s="18" t="s">
        <v>9</v>
      </c>
      <c r="AG1" s="20" t="s">
        <v>20</v>
      </c>
      <c r="AH1" s="22" t="s">
        <v>21</v>
      </c>
      <c r="AI1" s="18" t="s">
        <v>1</v>
      </c>
      <c r="AJ1" s="12" t="s">
        <v>18</v>
      </c>
    </row>
    <row r="2" spans="1:36" hidden="1" x14ac:dyDescent="0.25">
      <c r="A2" s="43">
        <v>2</v>
      </c>
      <c r="B2" s="58">
        <v>1</v>
      </c>
      <c r="C2" s="58"/>
      <c r="D2" s="58"/>
      <c r="E2" s="58"/>
      <c r="F2" s="59" t="s">
        <v>170</v>
      </c>
      <c r="G2" s="60"/>
      <c r="H2" s="46"/>
      <c r="I2" s="46"/>
      <c r="J2" s="46"/>
      <c r="K2" s="60"/>
      <c r="L2" s="61" t="str">
        <f>HYPERLINK("\\mycloudpr2100\ПДО учет\ММЗ\Проект 12560\12560.016.00 СБ Хомут (А4х3).pdf","12560.016.00СБ")</f>
        <v>12560.016.00СБ</v>
      </c>
      <c r="M2" s="61" t="str">
        <f>HYPERLINK("\\mycloudpr2100\ПДО учет\ММЗ\Проект 12560\12560.016.00 Хомут (А4).pdf","Хомут")</f>
        <v>Хомут</v>
      </c>
      <c r="N2" s="30"/>
      <c r="O2" s="60"/>
      <c r="P2" s="60"/>
      <c r="Q2" s="60">
        <v>400</v>
      </c>
      <c r="R2" s="60">
        <v>400</v>
      </c>
      <c r="S2" s="60">
        <v>400</v>
      </c>
      <c r="T2" s="60">
        <v>360</v>
      </c>
      <c r="U2" s="60">
        <v>360</v>
      </c>
      <c r="V2" s="60">
        <f>Q2+R2+S2+T2+U2</f>
        <v>1920</v>
      </c>
      <c r="W2" s="62"/>
      <c r="X2" s="62"/>
      <c r="Y2" s="48"/>
      <c r="Z2" s="63"/>
      <c r="AA2" s="63"/>
      <c r="AB2" s="63"/>
      <c r="AC2" s="63"/>
      <c r="AD2" s="63"/>
      <c r="AE2" s="64"/>
      <c r="AF2" s="65"/>
      <c r="AG2" s="66"/>
      <c r="AH2" s="67"/>
      <c r="AI2" s="63"/>
      <c r="AJ2" s="60"/>
    </row>
    <row r="3" spans="1:36" x14ac:dyDescent="0.25">
      <c r="A3" s="51">
        <v>3</v>
      </c>
      <c r="B3" s="26"/>
      <c r="C3" s="26"/>
      <c r="D3" s="26" t="s">
        <v>331</v>
      </c>
      <c r="E3" s="26"/>
      <c r="F3" s="28" t="s">
        <v>172</v>
      </c>
      <c r="G3" s="29"/>
      <c r="H3" s="29"/>
      <c r="I3" s="29"/>
      <c r="J3" s="29"/>
      <c r="K3" s="29"/>
      <c r="L3" s="41" t="str">
        <f>HYPERLINK("\\mycloudpr2100\ПДО учет\ММЗ\Проект 12560\12560.016.01 Валик (А4).pdf","12560.016.01-03")</f>
        <v>12560.016.01-03</v>
      </c>
      <c r="M3" s="25" t="s">
        <v>25</v>
      </c>
      <c r="N3" s="25"/>
      <c r="O3" s="25">
        <v>2</v>
      </c>
      <c r="P3" s="25"/>
      <c r="Q3" s="25">
        <f>$Q$2*O3</f>
        <v>800</v>
      </c>
      <c r="R3" s="25">
        <f>$R$2*O3</f>
        <v>800</v>
      </c>
      <c r="S3" s="25">
        <f>$S$2*O3</f>
        <v>800</v>
      </c>
      <c r="T3" s="25">
        <f>$T$2*O3</f>
        <v>720</v>
      </c>
      <c r="U3" s="25">
        <f>$U$2*O3</f>
        <v>720</v>
      </c>
      <c r="V3" s="25">
        <f>$V$2*O3</f>
        <v>3840</v>
      </c>
      <c r="W3" s="31"/>
      <c r="X3" s="31"/>
      <c r="Y3" s="32"/>
      <c r="Z3" s="33"/>
      <c r="AA3" s="33"/>
      <c r="AB3" s="33"/>
      <c r="AC3" s="33"/>
      <c r="AD3" s="33"/>
      <c r="AE3" s="34"/>
      <c r="AF3" s="35"/>
      <c r="AG3" s="36"/>
      <c r="AH3" s="37"/>
      <c r="AI3" s="33"/>
      <c r="AJ3" s="38"/>
    </row>
    <row r="4" spans="1:36" x14ac:dyDescent="0.25">
      <c r="A4" s="51">
        <v>4</v>
      </c>
      <c r="B4" s="26"/>
      <c r="C4" s="26"/>
      <c r="D4" s="26" t="s">
        <v>331</v>
      </c>
      <c r="E4" s="26"/>
      <c r="F4" s="28" t="s">
        <v>172</v>
      </c>
      <c r="G4" s="29"/>
      <c r="H4" s="29"/>
      <c r="I4" s="29"/>
      <c r="J4" s="29"/>
      <c r="K4" s="29"/>
      <c r="L4" s="41" t="str">
        <f>HYPERLINK("\\mycloudpr2100\ПДО учет\ММЗ\Проект 12560\12560.016.01 Валик (А4).pdf","12560.016.01-05")</f>
        <v>12560.016.01-05</v>
      </c>
      <c r="M4" s="25" t="s">
        <v>25</v>
      </c>
      <c r="N4" s="25"/>
      <c r="O4" s="25">
        <v>2</v>
      </c>
      <c r="P4" s="25"/>
      <c r="Q4" s="25">
        <f t="shared" ref="Q4:Q8" si="0">$Q$2*O4</f>
        <v>800</v>
      </c>
      <c r="R4" s="25">
        <f t="shared" ref="R4:R8" si="1">$R$2*O4</f>
        <v>800</v>
      </c>
      <c r="S4" s="25">
        <f t="shared" ref="S4:S8" si="2">$S$2*O4</f>
        <v>800</v>
      </c>
      <c r="T4" s="25">
        <f t="shared" ref="T4:T8" si="3">$T$2*O4</f>
        <v>720</v>
      </c>
      <c r="U4" s="25">
        <f t="shared" ref="U4:U8" si="4">$U$2*O4</f>
        <v>720</v>
      </c>
      <c r="V4" s="25">
        <f t="shared" ref="V4:V8" si="5">$V$2*O4</f>
        <v>3840</v>
      </c>
      <c r="W4" s="31"/>
      <c r="X4" s="31"/>
      <c r="Y4" s="32"/>
      <c r="Z4" s="33"/>
      <c r="AA4" s="33"/>
      <c r="AB4" s="33"/>
      <c r="AC4" s="33"/>
      <c r="AD4" s="33"/>
      <c r="AE4" s="34"/>
      <c r="AF4" s="35"/>
      <c r="AG4" s="36"/>
      <c r="AH4" s="37"/>
      <c r="AI4" s="33"/>
      <c r="AJ4" s="38"/>
    </row>
    <row r="5" spans="1:36" x14ac:dyDescent="0.25">
      <c r="A5" s="51">
        <v>5</v>
      </c>
      <c r="B5" s="26"/>
      <c r="C5" s="26"/>
      <c r="D5" s="26" t="s">
        <v>331</v>
      </c>
      <c r="E5" s="26"/>
      <c r="F5" s="28" t="s">
        <v>172</v>
      </c>
      <c r="G5" s="29"/>
      <c r="H5" s="29"/>
      <c r="I5" s="29"/>
      <c r="J5" s="29"/>
      <c r="K5" s="29"/>
      <c r="L5" s="41" t="str">
        <f>HYPERLINK("\\mycloudpr2100\ПДО учет\ММЗ\Проект 12560\12560.016.02 Шпилька (А4).pdf","12560.016.02")</f>
        <v>12560.016.02</v>
      </c>
      <c r="M5" s="25" t="s">
        <v>28</v>
      </c>
      <c r="N5" s="25"/>
      <c r="O5" s="25">
        <v>2</v>
      </c>
      <c r="P5" s="25"/>
      <c r="Q5" s="25">
        <f t="shared" si="0"/>
        <v>800</v>
      </c>
      <c r="R5" s="25">
        <f t="shared" si="1"/>
        <v>800</v>
      </c>
      <c r="S5" s="25">
        <f t="shared" si="2"/>
        <v>800</v>
      </c>
      <c r="T5" s="25">
        <f t="shared" si="3"/>
        <v>720</v>
      </c>
      <c r="U5" s="25">
        <f t="shared" si="4"/>
        <v>720</v>
      </c>
      <c r="V5" s="25">
        <f t="shared" si="5"/>
        <v>3840</v>
      </c>
      <c r="W5" s="31"/>
      <c r="X5" s="31"/>
      <c r="Y5" s="32"/>
      <c r="Z5" s="33"/>
      <c r="AA5" s="33"/>
      <c r="AB5" s="33"/>
      <c r="AC5" s="33"/>
      <c r="AD5" s="33"/>
      <c r="AE5" s="34"/>
      <c r="AF5" s="35"/>
      <c r="AG5" s="36"/>
      <c r="AH5" s="37"/>
      <c r="AI5" s="33"/>
      <c r="AJ5" s="38"/>
    </row>
    <row r="6" spans="1:36" hidden="1" x14ac:dyDescent="0.25">
      <c r="A6" s="51">
        <v>6</v>
      </c>
      <c r="B6" s="39"/>
      <c r="C6" s="39"/>
      <c r="D6" s="39"/>
      <c r="E6" s="39"/>
      <c r="F6" s="28" t="s">
        <v>172</v>
      </c>
      <c r="G6" s="29"/>
      <c r="H6" s="29"/>
      <c r="I6" s="29"/>
      <c r="J6" s="29"/>
      <c r="K6" s="29"/>
      <c r="L6" s="25" t="s">
        <v>293</v>
      </c>
      <c r="M6" s="25" t="s">
        <v>30</v>
      </c>
      <c r="N6" s="27"/>
      <c r="O6" s="25">
        <v>1</v>
      </c>
      <c r="P6" s="25"/>
      <c r="Q6" s="25">
        <f t="shared" si="0"/>
        <v>400</v>
      </c>
      <c r="R6" s="25">
        <f t="shared" si="1"/>
        <v>400</v>
      </c>
      <c r="S6" s="25">
        <f t="shared" si="2"/>
        <v>400</v>
      </c>
      <c r="T6" s="25">
        <f t="shared" si="3"/>
        <v>360</v>
      </c>
      <c r="U6" s="25">
        <f t="shared" si="4"/>
        <v>360</v>
      </c>
      <c r="V6" s="25">
        <f t="shared" si="5"/>
        <v>1920</v>
      </c>
      <c r="W6" s="31"/>
      <c r="X6" s="31"/>
      <c r="Y6" s="32"/>
      <c r="Z6" s="33"/>
      <c r="AA6" s="33"/>
      <c r="AB6" s="33"/>
      <c r="AC6" s="33"/>
      <c r="AD6" s="33"/>
      <c r="AE6" s="34"/>
      <c r="AF6" s="35"/>
      <c r="AG6" s="36"/>
      <c r="AH6" s="37"/>
      <c r="AI6" s="33"/>
      <c r="AJ6" s="38"/>
    </row>
    <row r="7" spans="1:36" hidden="1" x14ac:dyDescent="0.25">
      <c r="A7" s="51">
        <v>7</v>
      </c>
      <c r="B7" s="25"/>
      <c r="C7" s="25"/>
      <c r="D7" s="25"/>
      <c r="E7" s="25"/>
      <c r="F7" s="28" t="s">
        <v>2</v>
      </c>
      <c r="G7" s="29"/>
      <c r="H7" s="29"/>
      <c r="I7" s="29"/>
      <c r="J7" s="29"/>
      <c r="K7" s="29"/>
      <c r="L7" s="28" t="s">
        <v>294</v>
      </c>
      <c r="M7" s="49"/>
      <c r="N7" s="50"/>
      <c r="O7" s="50">
        <v>12</v>
      </c>
      <c r="P7" s="50"/>
      <c r="Q7" s="25">
        <f t="shared" si="0"/>
        <v>4800</v>
      </c>
      <c r="R7" s="25">
        <f t="shared" si="1"/>
        <v>4800</v>
      </c>
      <c r="S7" s="25">
        <f t="shared" si="2"/>
        <v>4800</v>
      </c>
      <c r="T7" s="25">
        <f t="shared" si="3"/>
        <v>4320</v>
      </c>
      <c r="U7" s="25">
        <f t="shared" si="4"/>
        <v>4320</v>
      </c>
      <c r="V7" s="25">
        <f t="shared" si="5"/>
        <v>23040</v>
      </c>
      <c r="W7" s="31"/>
      <c r="X7" s="31"/>
      <c r="Y7" s="32"/>
      <c r="Z7" s="33"/>
      <c r="AA7" s="33"/>
      <c r="AB7" s="33"/>
      <c r="AC7" s="33"/>
      <c r="AD7" s="33"/>
      <c r="AE7" s="34"/>
      <c r="AF7" s="35"/>
      <c r="AG7" s="36"/>
      <c r="AH7" s="37"/>
      <c r="AI7" s="33"/>
      <c r="AJ7" s="38"/>
    </row>
    <row r="8" spans="1:36" hidden="1" x14ac:dyDescent="0.25">
      <c r="A8" s="51">
        <v>8</v>
      </c>
      <c r="B8" s="25"/>
      <c r="C8" s="25"/>
      <c r="D8" s="25"/>
      <c r="E8" s="25"/>
      <c r="F8" s="28" t="s">
        <v>295</v>
      </c>
      <c r="G8" s="29"/>
      <c r="H8" s="29"/>
      <c r="I8" s="29"/>
      <c r="J8" s="29"/>
      <c r="K8" s="29"/>
      <c r="L8" s="28" t="s">
        <v>296</v>
      </c>
      <c r="M8" s="49"/>
      <c r="N8" s="50"/>
      <c r="O8" s="50" t="s">
        <v>297</v>
      </c>
      <c r="P8" s="50"/>
      <c r="Q8" s="25" t="e">
        <f t="shared" si="0"/>
        <v>#VALUE!</v>
      </c>
      <c r="R8" s="25" t="e">
        <f t="shared" si="1"/>
        <v>#VALUE!</v>
      </c>
      <c r="S8" s="25" t="e">
        <f t="shared" si="2"/>
        <v>#VALUE!</v>
      </c>
      <c r="T8" s="25" t="e">
        <f t="shared" si="3"/>
        <v>#VALUE!</v>
      </c>
      <c r="U8" s="25" t="e">
        <f t="shared" si="4"/>
        <v>#VALUE!</v>
      </c>
      <c r="V8" s="25" t="e">
        <f t="shared" si="5"/>
        <v>#VALUE!</v>
      </c>
      <c r="W8" s="31"/>
      <c r="X8" s="31"/>
      <c r="Y8" s="32"/>
      <c r="Z8" s="33"/>
      <c r="AA8" s="33"/>
      <c r="AB8" s="33"/>
      <c r="AC8" s="33"/>
      <c r="AD8" s="33"/>
      <c r="AE8" s="34"/>
      <c r="AF8" s="35"/>
      <c r="AG8" s="36"/>
      <c r="AH8" s="37"/>
      <c r="AI8" s="33"/>
      <c r="AJ8" s="38"/>
    </row>
    <row r="9" spans="1:36" hidden="1" x14ac:dyDescent="0.25">
      <c r="A9" s="43">
        <v>9</v>
      </c>
      <c r="B9" s="58">
        <f>B78+1</f>
        <v>12</v>
      </c>
      <c r="C9" s="58"/>
      <c r="D9" s="58"/>
      <c r="E9" s="58"/>
      <c r="F9" s="59" t="s">
        <v>170</v>
      </c>
      <c r="G9" s="46"/>
      <c r="H9" s="46"/>
      <c r="I9" s="46"/>
      <c r="J9" s="46"/>
      <c r="K9" s="46"/>
      <c r="L9" s="61" t="str">
        <f>HYPERLINK("\\mycloudpr2100\ПДО учет\ММЗ\Проект 12560\12560.213.00 СБ Крышка люка (А3х3).pdf","12560.213.00СБ")</f>
        <v>12560.213.00СБ</v>
      </c>
      <c r="M9" s="61" t="str">
        <f>HYPERLINK("\\mycloudpr2100\ПДО учет\ММЗ\Проект 12560\12560.213.00 Крышка люка (А4).pdf","Крышка люка")</f>
        <v>Крышка люка</v>
      </c>
      <c r="N9" s="30"/>
      <c r="O9" s="60"/>
      <c r="P9" s="60"/>
      <c r="Q9" s="60">
        <v>600</v>
      </c>
      <c r="R9" s="60">
        <v>600</v>
      </c>
      <c r="S9" s="60">
        <v>600</v>
      </c>
      <c r="T9" s="60">
        <v>540</v>
      </c>
      <c r="U9" s="60">
        <v>540</v>
      </c>
      <c r="V9" s="60">
        <f>Q9+R9+S9+T9+U9</f>
        <v>2880</v>
      </c>
      <c r="W9" s="62"/>
      <c r="X9" s="62"/>
      <c r="Y9" s="48"/>
      <c r="Z9" s="63"/>
      <c r="AA9" s="63"/>
      <c r="AB9" s="63"/>
      <c r="AC9" s="63"/>
      <c r="AD9" s="63"/>
      <c r="AE9" s="64"/>
      <c r="AF9" s="65"/>
      <c r="AG9" s="66"/>
      <c r="AH9" s="67"/>
      <c r="AI9" s="63"/>
      <c r="AJ9" s="60"/>
    </row>
    <row r="10" spans="1:36" hidden="1" x14ac:dyDescent="0.25">
      <c r="A10" s="51">
        <v>10</v>
      </c>
      <c r="B10" s="26"/>
      <c r="C10" s="26"/>
      <c r="D10" s="26"/>
      <c r="E10" s="26"/>
      <c r="F10" s="28" t="s">
        <v>172</v>
      </c>
      <c r="G10" s="29">
        <v>1</v>
      </c>
      <c r="H10" s="29"/>
      <c r="I10" s="29"/>
      <c r="J10" s="29"/>
      <c r="K10" s="29"/>
      <c r="L10" s="27" t="s">
        <v>298</v>
      </c>
      <c r="M10" s="25" t="s">
        <v>46</v>
      </c>
      <c r="N10" s="25"/>
      <c r="O10" s="25">
        <v>1</v>
      </c>
      <c r="P10" s="25"/>
      <c r="Q10" s="25">
        <f>$Q$9*O10</f>
        <v>600</v>
      </c>
      <c r="R10" s="25">
        <f>$R$9*O10</f>
        <v>600</v>
      </c>
      <c r="S10" s="25">
        <f>$S$9*O10</f>
        <v>600</v>
      </c>
      <c r="T10" s="25">
        <f>$T$9*O10</f>
        <v>540</v>
      </c>
      <c r="U10" s="25">
        <f>$U$9*O10</f>
        <v>540</v>
      </c>
      <c r="V10" s="25">
        <f>$V$9*O10</f>
        <v>2880</v>
      </c>
      <c r="W10" s="31"/>
      <c r="X10" s="31"/>
      <c r="Y10" s="32"/>
      <c r="Z10" s="33"/>
      <c r="AA10" s="33"/>
      <c r="AB10" s="33"/>
      <c r="AC10" s="33"/>
      <c r="AD10" s="33"/>
      <c r="AE10" s="34"/>
      <c r="AF10" s="35"/>
      <c r="AG10" s="36"/>
      <c r="AH10" s="37"/>
      <c r="AI10" s="33"/>
      <c r="AJ10" s="38"/>
    </row>
    <row r="11" spans="1:36" hidden="1" x14ac:dyDescent="0.25">
      <c r="A11" s="51">
        <v>11</v>
      </c>
      <c r="B11" s="26"/>
      <c r="C11" s="26"/>
      <c r="D11" s="26"/>
      <c r="E11" s="26"/>
      <c r="F11" s="28" t="s">
        <v>172</v>
      </c>
      <c r="G11" s="29">
        <v>2</v>
      </c>
      <c r="H11" s="29"/>
      <c r="I11" s="29"/>
      <c r="J11" s="29"/>
      <c r="K11" s="29"/>
      <c r="L11" s="27" t="s">
        <v>299</v>
      </c>
      <c r="M11" s="25" t="s">
        <v>48</v>
      </c>
      <c r="N11" s="25"/>
      <c r="O11" s="25">
        <v>1</v>
      </c>
      <c r="P11" s="25"/>
      <c r="Q11" s="25">
        <f t="shared" ref="Q11:Q21" si="6">$Q$9*O11</f>
        <v>600</v>
      </c>
      <c r="R11" s="25">
        <f t="shared" ref="R11:R21" si="7">$R$9*O11</f>
        <v>600</v>
      </c>
      <c r="S11" s="25">
        <f t="shared" ref="S11:S21" si="8">$S$9*O11</f>
        <v>600</v>
      </c>
      <c r="T11" s="25">
        <f t="shared" ref="T11:T21" si="9">$T$9*O11</f>
        <v>540</v>
      </c>
      <c r="U11" s="25">
        <f t="shared" ref="U11:U21" si="10">$U$9*O11</f>
        <v>540</v>
      </c>
      <c r="V11" s="25">
        <f t="shared" ref="V11:V21" si="11">$V$9*O11</f>
        <v>2880</v>
      </c>
      <c r="W11" s="31"/>
      <c r="X11" s="31"/>
      <c r="Y11" s="32"/>
      <c r="Z11" s="33"/>
      <c r="AA11" s="33"/>
      <c r="AB11" s="33"/>
      <c r="AC11" s="33"/>
      <c r="AD11" s="33"/>
      <c r="AE11" s="34"/>
      <c r="AF11" s="35"/>
      <c r="AG11" s="36"/>
      <c r="AH11" s="37"/>
      <c r="AI11" s="33"/>
      <c r="AJ11" s="38"/>
    </row>
    <row r="12" spans="1:36" hidden="1" x14ac:dyDescent="0.25">
      <c r="A12" s="51">
        <v>12</v>
      </c>
      <c r="B12" s="26"/>
      <c r="C12" s="26"/>
      <c r="D12" s="26"/>
      <c r="E12" s="26"/>
      <c r="F12" s="28" t="s">
        <v>2</v>
      </c>
      <c r="G12" s="29">
        <v>3</v>
      </c>
      <c r="H12" s="29"/>
      <c r="I12" s="29"/>
      <c r="J12" s="29"/>
      <c r="K12" s="29"/>
      <c r="L12" s="27" t="s">
        <v>300</v>
      </c>
      <c r="M12" s="25"/>
      <c r="N12" s="25"/>
      <c r="O12" s="25">
        <v>17</v>
      </c>
      <c r="P12" s="25"/>
      <c r="Q12" s="25">
        <f t="shared" si="6"/>
        <v>10200</v>
      </c>
      <c r="R12" s="25">
        <f t="shared" si="7"/>
        <v>10200</v>
      </c>
      <c r="S12" s="25">
        <f t="shared" si="8"/>
        <v>10200</v>
      </c>
      <c r="T12" s="25">
        <f t="shared" si="9"/>
        <v>9180</v>
      </c>
      <c r="U12" s="25">
        <f t="shared" si="10"/>
        <v>9180</v>
      </c>
      <c r="V12" s="25">
        <f t="shared" si="11"/>
        <v>48960</v>
      </c>
      <c r="W12" s="31"/>
      <c r="X12" s="31"/>
      <c r="Y12" s="32"/>
      <c r="Z12" s="33"/>
      <c r="AA12" s="33"/>
      <c r="AB12" s="33"/>
      <c r="AC12" s="33"/>
      <c r="AD12" s="33"/>
      <c r="AE12" s="34"/>
      <c r="AF12" s="35"/>
      <c r="AG12" s="36"/>
      <c r="AH12" s="37"/>
      <c r="AI12" s="33"/>
      <c r="AJ12" s="38"/>
    </row>
    <row r="13" spans="1:36" hidden="1" x14ac:dyDescent="0.25">
      <c r="A13" s="51">
        <v>13</v>
      </c>
      <c r="B13" s="26"/>
      <c r="C13" s="26"/>
      <c r="D13" s="26"/>
      <c r="E13" s="26"/>
      <c r="F13" s="28" t="s">
        <v>2</v>
      </c>
      <c r="G13" s="29">
        <v>4</v>
      </c>
      <c r="H13" s="29"/>
      <c r="I13" s="29"/>
      <c r="J13" s="29"/>
      <c r="K13" s="29"/>
      <c r="L13" s="27" t="s">
        <v>301</v>
      </c>
      <c r="M13" s="25"/>
      <c r="N13" s="25"/>
      <c r="O13" s="25">
        <v>1</v>
      </c>
      <c r="P13" s="25"/>
      <c r="Q13" s="25">
        <f t="shared" si="6"/>
        <v>600</v>
      </c>
      <c r="R13" s="25">
        <f t="shared" si="7"/>
        <v>600</v>
      </c>
      <c r="S13" s="25">
        <f t="shared" si="8"/>
        <v>600</v>
      </c>
      <c r="T13" s="25">
        <f t="shared" si="9"/>
        <v>540</v>
      </c>
      <c r="U13" s="25">
        <f t="shared" si="10"/>
        <v>540</v>
      </c>
      <c r="V13" s="25">
        <f t="shared" si="11"/>
        <v>2880</v>
      </c>
      <c r="W13" s="31"/>
      <c r="X13" s="31"/>
      <c r="Y13" s="32"/>
      <c r="Z13" s="33"/>
      <c r="AA13" s="33"/>
      <c r="AB13" s="33"/>
      <c r="AC13" s="33"/>
      <c r="AD13" s="33"/>
      <c r="AE13" s="34"/>
      <c r="AF13" s="35"/>
      <c r="AG13" s="36"/>
      <c r="AH13" s="37"/>
      <c r="AI13" s="33"/>
      <c r="AJ13" s="38"/>
    </row>
    <row r="14" spans="1:36" hidden="1" x14ac:dyDescent="0.25">
      <c r="A14" s="51">
        <v>14</v>
      </c>
      <c r="B14" s="26"/>
      <c r="C14" s="26"/>
      <c r="D14" s="26"/>
      <c r="E14" s="26"/>
      <c r="F14" s="28" t="s">
        <v>2</v>
      </c>
      <c r="G14" s="29">
        <v>5</v>
      </c>
      <c r="H14" s="29"/>
      <c r="I14" s="29"/>
      <c r="J14" s="29"/>
      <c r="K14" s="29"/>
      <c r="L14" s="27" t="s">
        <v>308</v>
      </c>
      <c r="M14" s="25"/>
      <c r="N14" s="25"/>
      <c r="O14" s="25">
        <v>17</v>
      </c>
      <c r="P14" s="25"/>
      <c r="Q14" s="25">
        <f t="shared" si="6"/>
        <v>10200</v>
      </c>
      <c r="R14" s="25">
        <f t="shared" si="7"/>
        <v>10200</v>
      </c>
      <c r="S14" s="25">
        <f t="shared" si="8"/>
        <v>10200</v>
      </c>
      <c r="T14" s="25">
        <f t="shared" si="9"/>
        <v>9180</v>
      </c>
      <c r="U14" s="25">
        <f t="shared" si="10"/>
        <v>9180</v>
      </c>
      <c r="V14" s="25">
        <f t="shared" si="11"/>
        <v>48960</v>
      </c>
      <c r="W14" s="31"/>
      <c r="X14" s="31"/>
      <c r="Y14" s="32"/>
      <c r="Z14" s="33"/>
      <c r="AA14" s="33"/>
      <c r="AB14" s="33"/>
      <c r="AC14" s="33"/>
      <c r="AD14" s="33"/>
      <c r="AE14" s="34"/>
      <c r="AF14" s="35"/>
      <c r="AG14" s="36"/>
      <c r="AH14" s="37"/>
      <c r="AI14" s="33"/>
      <c r="AJ14" s="38"/>
    </row>
    <row r="15" spans="1:36" hidden="1" x14ac:dyDescent="0.25">
      <c r="A15" s="51">
        <v>15</v>
      </c>
      <c r="B15" s="26"/>
      <c r="C15" s="26"/>
      <c r="D15" s="26"/>
      <c r="E15" s="26"/>
      <c r="F15" s="28" t="s">
        <v>2</v>
      </c>
      <c r="G15" s="29">
        <v>8</v>
      </c>
      <c r="H15" s="29"/>
      <c r="I15" s="29"/>
      <c r="J15" s="29"/>
      <c r="K15" s="29"/>
      <c r="L15" s="27" t="s">
        <v>302</v>
      </c>
      <c r="M15" s="25"/>
      <c r="N15" s="25"/>
      <c r="O15" s="25">
        <v>1</v>
      </c>
      <c r="P15" s="25"/>
      <c r="Q15" s="25">
        <f t="shared" si="6"/>
        <v>600</v>
      </c>
      <c r="R15" s="25">
        <f t="shared" si="7"/>
        <v>600</v>
      </c>
      <c r="S15" s="25">
        <f t="shared" si="8"/>
        <v>600</v>
      </c>
      <c r="T15" s="25">
        <f t="shared" si="9"/>
        <v>540</v>
      </c>
      <c r="U15" s="25">
        <f t="shared" si="10"/>
        <v>540</v>
      </c>
      <c r="V15" s="25">
        <f t="shared" si="11"/>
        <v>2880</v>
      </c>
      <c r="W15" s="31"/>
      <c r="X15" s="31"/>
      <c r="Y15" s="32"/>
      <c r="Z15" s="33"/>
      <c r="AA15" s="33"/>
      <c r="AB15" s="33"/>
      <c r="AC15" s="33"/>
      <c r="AD15" s="33"/>
      <c r="AE15" s="34"/>
      <c r="AF15" s="35"/>
      <c r="AG15" s="36"/>
      <c r="AH15" s="37"/>
      <c r="AI15" s="33"/>
      <c r="AJ15" s="38"/>
    </row>
    <row r="16" spans="1:36" hidden="1" x14ac:dyDescent="0.25">
      <c r="A16" s="51">
        <v>16</v>
      </c>
      <c r="B16" s="26"/>
      <c r="C16" s="26"/>
      <c r="D16" s="26"/>
      <c r="E16" s="26"/>
      <c r="F16" s="28" t="s">
        <v>2</v>
      </c>
      <c r="G16" s="29">
        <v>9</v>
      </c>
      <c r="H16" s="29"/>
      <c r="I16" s="29"/>
      <c r="J16" s="29"/>
      <c r="K16" s="29"/>
      <c r="L16" s="27" t="s">
        <v>309</v>
      </c>
      <c r="M16" s="25"/>
      <c r="N16" s="25"/>
      <c r="O16" s="25">
        <v>34</v>
      </c>
      <c r="P16" s="25"/>
      <c r="Q16" s="25">
        <f t="shared" si="6"/>
        <v>20400</v>
      </c>
      <c r="R16" s="25">
        <f t="shared" si="7"/>
        <v>20400</v>
      </c>
      <c r="S16" s="25">
        <f t="shared" si="8"/>
        <v>20400</v>
      </c>
      <c r="T16" s="25">
        <f t="shared" si="9"/>
        <v>18360</v>
      </c>
      <c r="U16" s="25">
        <f t="shared" si="10"/>
        <v>18360</v>
      </c>
      <c r="V16" s="25">
        <f t="shared" si="11"/>
        <v>97920</v>
      </c>
      <c r="W16" s="31"/>
      <c r="X16" s="31"/>
      <c r="Y16" s="32"/>
      <c r="Z16" s="33"/>
      <c r="AA16" s="33"/>
      <c r="AB16" s="33"/>
      <c r="AC16" s="33"/>
      <c r="AD16" s="33"/>
      <c r="AE16" s="34"/>
      <c r="AF16" s="35"/>
      <c r="AG16" s="36"/>
      <c r="AH16" s="37"/>
      <c r="AI16" s="33"/>
      <c r="AJ16" s="38"/>
    </row>
    <row r="17" spans="1:36" hidden="1" x14ac:dyDescent="0.25">
      <c r="A17" s="51">
        <v>17</v>
      </c>
      <c r="B17" s="26"/>
      <c r="C17" s="26"/>
      <c r="D17" s="26"/>
      <c r="E17" s="26"/>
      <c r="F17" s="28" t="s">
        <v>2</v>
      </c>
      <c r="G17" s="29">
        <v>11</v>
      </c>
      <c r="H17" s="29"/>
      <c r="I17" s="29"/>
      <c r="J17" s="29"/>
      <c r="K17" s="29"/>
      <c r="L17" s="27" t="s">
        <v>303</v>
      </c>
      <c r="M17" s="25"/>
      <c r="N17" s="25"/>
      <c r="O17" s="25">
        <v>17</v>
      </c>
      <c r="P17" s="25"/>
      <c r="Q17" s="25">
        <f t="shared" si="6"/>
        <v>10200</v>
      </c>
      <c r="R17" s="25">
        <f t="shared" si="7"/>
        <v>10200</v>
      </c>
      <c r="S17" s="25">
        <f t="shared" si="8"/>
        <v>10200</v>
      </c>
      <c r="T17" s="25">
        <f t="shared" si="9"/>
        <v>9180</v>
      </c>
      <c r="U17" s="25">
        <f t="shared" si="10"/>
        <v>9180</v>
      </c>
      <c r="V17" s="25">
        <f t="shared" si="11"/>
        <v>48960</v>
      </c>
      <c r="W17" s="31"/>
      <c r="X17" s="31"/>
      <c r="Y17" s="32"/>
      <c r="Z17" s="33"/>
      <c r="AA17" s="33"/>
      <c r="AB17" s="33"/>
      <c r="AC17" s="33"/>
      <c r="AD17" s="33"/>
      <c r="AE17" s="34"/>
      <c r="AF17" s="35"/>
      <c r="AG17" s="36"/>
      <c r="AH17" s="37"/>
      <c r="AI17" s="33"/>
      <c r="AJ17" s="38"/>
    </row>
    <row r="18" spans="1:36" hidden="1" x14ac:dyDescent="0.25">
      <c r="A18" s="51">
        <v>18</v>
      </c>
      <c r="B18" s="26"/>
      <c r="C18" s="26"/>
      <c r="D18" s="26"/>
      <c r="E18" s="26"/>
      <c r="F18" s="28" t="s">
        <v>2</v>
      </c>
      <c r="G18" s="29">
        <v>12</v>
      </c>
      <c r="H18" s="29"/>
      <c r="I18" s="29"/>
      <c r="J18" s="29"/>
      <c r="K18" s="29"/>
      <c r="L18" s="27" t="s">
        <v>304</v>
      </c>
      <c r="M18" s="25"/>
      <c r="N18" s="25"/>
      <c r="O18" s="25">
        <v>2</v>
      </c>
      <c r="P18" s="25"/>
      <c r="Q18" s="25">
        <f t="shared" si="6"/>
        <v>1200</v>
      </c>
      <c r="R18" s="25">
        <f t="shared" si="7"/>
        <v>1200</v>
      </c>
      <c r="S18" s="25">
        <f t="shared" si="8"/>
        <v>1200</v>
      </c>
      <c r="T18" s="25">
        <f t="shared" si="9"/>
        <v>1080</v>
      </c>
      <c r="U18" s="25">
        <f t="shared" si="10"/>
        <v>1080</v>
      </c>
      <c r="V18" s="25">
        <f t="shared" si="11"/>
        <v>5760</v>
      </c>
      <c r="W18" s="31"/>
      <c r="X18" s="31"/>
      <c r="Y18" s="32"/>
      <c r="Z18" s="33"/>
      <c r="AA18" s="33"/>
      <c r="AB18" s="33"/>
      <c r="AC18" s="33"/>
      <c r="AD18" s="33"/>
      <c r="AE18" s="34"/>
      <c r="AF18" s="35"/>
      <c r="AG18" s="36"/>
      <c r="AH18" s="37"/>
      <c r="AI18" s="33"/>
      <c r="AJ18" s="38"/>
    </row>
    <row r="19" spans="1:36" hidden="1" x14ac:dyDescent="0.25">
      <c r="A19" s="51">
        <v>19</v>
      </c>
      <c r="B19" s="26"/>
      <c r="C19" s="26"/>
      <c r="D19" s="26"/>
      <c r="E19" s="26"/>
      <c r="F19" s="28" t="s">
        <v>295</v>
      </c>
      <c r="G19" s="29"/>
      <c r="H19" s="29"/>
      <c r="I19" s="29"/>
      <c r="J19" s="29"/>
      <c r="K19" s="29"/>
      <c r="L19" s="27" t="s">
        <v>305</v>
      </c>
      <c r="M19" s="25"/>
      <c r="N19" s="25"/>
      <c r="O19" s="25" t="s">
        <v>297</v>
      </c>
      <c r="P19" s="25"/>
      <c r="Q19" s="25" t="e">
        <f t="shared" si="6"/>
        <v>#VALUE!</v>
      </c>
      <c r="R19" s="25" t="e">
        <f t="shared" si="7"/>
        <v>#VALUE!</v>
      </c>
      <c r="S19" s="25" t="e">
        <f t="shared" si="8"/>
        <v>#VALUE!</v>
      </c>
      <c r="T19" s="25" t="e">
        <f t="shared" si="9"/>
        <v>#VALUE!</v>
      </c>
      <c r="U19" s="25" t="e">
        <f t="shared" si="10"/>
        <v>#VALUE!</v>
      </c>
      <c r="V19" s="25" t="e">
        <f t="shared" si="11"/>
        <v>#VALUE!</v>
      </c>
      <c r="W19" s="31"/>
      <c r="X19" s="31"/>
      <c r="Y19" s="32"/>
      <c r="Z19" s="33"/>
      <c r="AA19" s="33"/>
      <c r="AB19" s="33"/>
      <c r="AC19" s="33"/>
      <c r="AD19" s="33"/>
      <c r="AE19" s="34"/>
      <c r="AF19" s="35"/>
      <c r="AG19" s="36"/>
      <c r="AH19" s="37"/>
      <c r="AI19" s="33"/>
      <c r="AJ19" s="38"/>
    </row>
    <row r="20" spans="1:36" hidden="1" x14ac:dyDescent="0.25">
      <c r="A20" s="51">
        <v>20</v>
      </c>
      <c r="B20" s="26"/>
      <c r="C20" s="26"/>
      <c r="D20" s="26"/>
      <c r="E20" s="26"/>
      <c r="F20" s="28" t="s">
        <v>295</v>
      </c>
      <c r="G20" s="29"/>
      <c r="H20" s="29"/>
      <c r="I20" s="29"/>
      <c r="J20" s="29"/>
      <c r="K20" s="29"/>
      <c r="L20" s="27" t="s">
        <v>306</v>
      </c>
      <c r="M20" s="25"/>
      <c r="N20" s="25"/>
      <c r="O20" s="25" t="s">
        <v>297</v>
      </c>
      <c r="P20" s="25"/>
      <c r="Q20" s="25" t="e">
        <f t="shared" si="6"/>
        <v>#VALUE!</v>
      </c>
      <c r="R20" s="25" t="e">
        <f t="shared" si="7"/>
        <v>#VALUE!</v>
      </c>
      <c r="S20" s="25" t="e">
        <f t="shared" si="8"/>
        <v>#VALUE!</v>
      </c>
      <c r="T20" s="25" t="e">
        <f t="shared" si="9"/>
        <v>#VALUE!</v>
      </c>
      <c r="U20" s="25" t="e">
        <f t="shared" si="10"/>
        <v>#VALUE!</v>
      </c>
      <c r="V20" s="25" t="e">
        <f t="shared" si="11"/>
        <v>#VALUE!</v>
      </c>
      <c r="W20" s="31"/>
      <c r="X20" s="31"/>
      <c r="Y20" s="32"/>
      <c r="Z20" s="33"/>
      <c r="AA20" s="33"/>
      <c r="AB20" s="33"/>
      <c r="AC20" s="33"/>
      <c r="AD20" s="33"/>
      <c r="AE20" s="34"/>
      <c r="AF20" s="35"/>
      <c r="AG20" s="36"/>
      <c r="AH20" s="37"/>
      <c r="AI20" s="33"/>
      <c r="AJ20" s="38"/>
    </row>
    <row r="21" spans="1:36" hidden="1" x14ac:dyDescent="0.25">
      <c r="A21" s="51">
        <v>21</v>
      </c>
      <c r="B21" s="26"/>
      <c r="C21" s="26"/>
      <c r="D21" s="26"/>
      <c r="E21" s="26"/>
      <c r="F21" s="28" t="s">
        <v>295</v>
      </c>
      <c r="G21" s="29"/>
      <c r="H21" s="29"/>
      <c r="I21" s="29"/>
      <c r="J21" s="29"/>
      <c r="K21" s="29"/>
      <c r="L21" s="27" t="s">
        <v>307</v>
      </c>
      <c r="M21" s="25"/>
      <c r="N21" s="25"/>
      <c r="O21" s="25" t="s">
        <v>297</v>
      </c>
      <c r="P21" s="25"/>
      <c r="Q21" s="25" t="e">
        <f t="shared" si="6"/>
        <v>#VALUE!</v>
      </c>
      <c r="R21" s="25" t="e">
        <f t="shared" si="7"/>
        <v>#VALUE!</v>
      </c>
      <c r="S21" s="25" t="e">
        <f t="shared" si="8"/>
        <v>#VALUE!</v>
      </c>
      <c r="T21" s="25" t="e">
        <f t="shared" si="9"/>
        <v>#VALUE!</v>
      </c>
      <c r="U21" s="25" t="e">
        <f t="shared" si="10"/>
        <v>#VALUE!</v>
      </c>
      <c r="V21" s="25" t="e">
        <f t="shared" si="11"/>
        <v>#VALUE!</v>
      </c>
      <c r="W21" s="31"/>
      <c r="X21" s="31"/>
      <c r="Y21" s="32"/>
      <c r="Z21" s="33"/>
      <c r="AA21" s="33"/>
      <c r="AB21" s="33"/>
      <c r="AC21" s="33"/>
      <c r="AD21" s="33"/>
      <c r="AE21" s="34"/>
      <c r="AF21" s="35"/>
      <c r="AG21" s="36"/>
      <c r="AH21" s="37"/>
      <c r="AI21" s="33"/>
      <c r="AJ21" s="38"/>
    </row>
    <row r="22" spans="1:36" hidden="1" x14ac:dyDescent="0.25">
      <c r="A22" s="43">
        <v>22</v>
      </c>
      <c r="B22" s="58">
        <f>B86+1</f>
        <v>20</v>
      </c>
      <c r="C22" s="58"/>
      <c r="D22" s="58"/>
      <c r="E22" s="58"/>
      <c r="F22" s="59" t="s">
        <v>170</v>
      </c>
      <c r="G22" s="46"/>
      <c r="H22" s="46"/>
      <c r="I22" s="46"/>
      <c r="J22" s="46"/>
      <c r="K22" s="46"/>
      <c r="L22" s="61" t="str">
        <f>HYPERLINK("\\mycloudpr2100\ПДО учет\ММЗ\Проект 12560\12560.247.00 СБ Площадка (А4х4).pdf","12560.247.00СБ")</f>
        <v>12560.247.00СБ</v>
      </c>
      <c r="M22" s="61" t="str">
        <f>HYPERLINK("\\mycloudpr2100\ПДО учет\ММЗ\Проект 12560\12560.247.00 Площадка (А4).pdf","Площадка")</f>
        <v>Площадка</v>
      </c>
      <c r="N22" s="30"/>
      <c r="O22" s="60"/>
      <c r="P22" s="60"/>
      <c r="Q22" s="60">
        <v>200</v>
      </c>
      <c r="R22" s="60">
        <v>200</v>
      </c>
      <c r="S22" s="60">
        <v>200</v>
      </c>
      <c r="T22" s="60">
        <v>180</v>
      </c>
      <c r="U22" s="60">
        <v>180</v>
      </c>
      <c r="V22" s="60">
        <f>Q22+R22+S22+T22+U22</f>
        <v>960</v>
      </c>
      <c r="W22" s="62"/>
      <c r="X22" s="62"/>
      <c r="Y22" s="48"/>
      <c r="Z22" s="63"/>
      <c r="AA22" s="63"/>
      <c r="AB22" s="63"/>
      <c r="AC22" s="63"/>
      <c r="AD22" s="63"/>
      <c r="AE22" s="64"/>
      <c r="AF22" s="65"/>
      <c r="AG22" s="66"/>
      <c r="AH22" s="67"/>
      <c r="AI22" s="63"/>
      <c r="AJ22" s="60"/>
    </row>
    <row r="23" spans="1:36" hidden="1" x14ac:dyDescent="0.25">
      <c r="A23" s="51">
        <v>23</v>
      </c>
      <c r="B23" s="26"/>
      <c r="C23" s="26"/>
      <c r="D23" s="26"/>
      <c r="E23" s="26"/>
      <c r="F23" s="28" t="s">
        <v>172</v>
      </c>
      <c r="G23" s="29">
        <v>1</v>
      </c>
      <c r="H23" s="29"/>
      <c r="I23" s="29"/>
      <c r="J23" s="29"/>
      <c r="K23" s="29"/>
      <c r="L23" s="41" t="str">
        <f>HYPERLINK("\\mycloudpr2100\ПДО учет\ММЗ\Проект 12560\12560.247.03 Уголок (А4).pdf","12560.247.03")</f>
        <v>12560.247.03</v>
      </c>
      <c r="M23" s="25" t="s">
        <v>36</v>
      </c>
      <c r="N23" s="25"/>
      <c r="O23" s="25">
        <v>2</v>
      </c>
      <c r="P23" s="25"/>
      <c r="Q23" s="25">
        <f>$Q$22*O23</f>
        <v>400</v>
      </c>
      <c r="R23" s="25">
        <f>$R$22*O23</f>
        <v>400</v>
      </c>
      <c r="S23" s="25">
        <f>$S$22*O23</f>
        <v>400</v>
      </c>
      <c r="T23" s="25">
        <f>$T$22*O23</f>
        <v>360</v>
      </c>
      <c r="U23" s="25">
        <f>$U$22*O23</f>
        <v>360</v>
      </c>
      <c r="V23" s="25">
        <f>$V$22*O23</f>
        <v>1920</v>
      </c>
      <c r="W23" s="31"/>
      <c r="X23" s="31"/>
      <c r="Y23" s="32"/>
      <c r="Z23" s="33"/>
      <c r="AA23" s="33"/>
      <c r="AB23" s="33"/>
      <c r="AC23" s="33"/>
      <c r="AD23" s="33"/>
      <c r="AE23" s="34"/>
      <c r="AF23" s="35"/>
      <c r="AG23" s="36"/>
      <c r="AH23" s="37"/>
      <c r="AI23" s="33"/>
      <c r="AJ23" s="38"/>
    </row>
    <row r="24" spans="1:36" hidden="1" x14ac:dyDescent="0.25">
      <c r="A24" s="51">
        <v>24</v>
      </c>
      <c r="B24" s="26"/>
      <c r="C24" s="26"/>
      <c r="D24" s="26"/>
      <c r="E24" s="26"/>
      <c r="F24" s="28" t="s">
        <v>172</v>
      </c>
      <c r="G24" s="29">
        <v>2</v>
      </c>
      <c r="H24" s="29"/>
      <c r="I24" s="29"/>
      <c r="J24" s="29"/>
      <c r="K24" s="29"/>
      <c r="L24" s="41" t="str">
        <f>HYPERLINK("\\mycloudpr2100\ПДО учет\ММЗ\Проект 12560\12560.247.05 Уголок (А4).pdf","12560.247.05")</f>
        <v>12560.247.05</v>
      </c>
      <c r="M24" s="25" t="s">
        <v>36</v>
      </c>
      <c r="N24" s="25"/>
      <c r="O24" s="25">
        <v>1</v>
      </c>
      <c r="P24" s="25"/>
      <c r="Q24" s="25">
        <f t="shared" ref="Q24:Q32" si="12">$Q$22*O24</f>
        <v>200</v>
      </c>
      <c r="R24" s="25">
        <f t="shared" ref="R24:R32" si="13">$R$22*O24</f>
        <v>200</v>
      </c>
      <c r="S24" s="25">
        <f t="shared" ref="S24:S32" si="14">$S$22*O24</f>
        <v>200</v>
      </c>
      <c r="T24" s="25">
        <f t="shared" ref="T24:T32" si="15">$T$22*O24</f>
        <v>180</v>
      </c>
      <c r="U24" s="25">
        <f t="shared" ref="U24:U32" si="16">$U$22*O24</f>
        <v>180</v>
      </c>
      <c r="V24" s="25">
        <f t="shared" ref="V24:V32" si="17">$V$22*O24</f>
        <v>960</v>
      </c>
      <c r="W24" s="31"/>
      <c r="X24" s="31"/>
      <c r="Y24" s="32"/>
      <c r="Z24" s="33"/>
      <c r="AA24" s="33"/>
      <c r="AB24" s="33"/>
      <c r="AC24" s="33"/>
      <c r="AD24" s="33"/>
      <c r="AE24" s="34"/>
      <c r="AF24" s="35"/>
      <c r="AG24" s="36"/>
      <c r="AH24" s="37"/>
      <c r="AI24" s="33"/>
      <c r="AJ24" s="38"/>
    </row>
    <row r="25" spans="1:36" hidden="1" x14ac:dyDescent="0.25">
      <c r="A25" s="51">
        <v>25</v>
      </c>
      <c r="B25" s="26"/>
      <c r="C25" s="26"/>
      <c r="D25" s="26"/>
      <c r="E25" s="26"/>
      <c r="F25" s="28" t="s">
        <v>172</v>
      </c>
      <c r="G25" s="29">
        <v>3</v>
      </c>
      <c r="H25" s="29"/>
      <c r="I25" s="29"/>
      <c r="J25" s="29"/>
      <c r="K25" s="29"/>
      <c r="L25" s="41" t="str">
        <f>HYPERLINK("\\mycloudpr2100\ПДО учет\ММЗ\Проект 12560\12560.247.06 Профиль (А4).pdf","12560.247.06")</f>
        <v>12560.247.06</v>
      </c>
      <c r="M25" s="25" t="s">
        <v>64</v>
      </c>
      <c r="N25" s="25"/>
      <c r="O25" s="25">
        <v>2</v>
      </c>
      <c r="P25" s="25"/>
      <c r="Q25" s="25">
        <f t="shared" si="12"/>
        <v>400</v>
      </c>
      <c r="R25" s="25">
        <f t="shared" si="13"/>
        <v>400</v>
      </c>
      <c r="S25" s="25">
        <f t="shared" si="14"/>
        <v>400</v>
      </c>
      <c r="T25" s="25">
        <f t="shared" si="15"/>
        <v>360</v>
      </c>
      <c r="U25" s="25">
        <f t="shared" si="16"/>
        <v>360</v>
      </c>
      <c r="V25" s="25">
        <f t="shared" si="17"/>
        <v>1920</v>
      </c>
      <c r="W25" s="31"/>
      <c r="X25" s="31"/>
      <c r="Y25" s="32"/>
      <c r="Z25" s="33"/>
      <c r="AA25" s="33"/>
      <c r="AB25" s="33"/>
      <c r="AC25" s="33"/>
      <c r="AD25" s="33"/>
      <c r="AE25" s="34"/>
      <c r="AF25" s="35"/>
      <c r="AG25" s="36"/>
      <c r="AH25" s="37"/>
      <c r="AI25" s="33"/>
      <c r="AJ25" s="38"/>
    </row>
    <row r="26" spans="1:36" hidden="1" x14ac:dyDescent="0.25">
      <c r="A26" s="51">
        <v>26</v>
      </c>
      <c r="B26" s="26"/>
      <c r="C26" s="26"/>
      <c r="D26" s="26"/>
      <c r="E26" s="26"/>
      <c r="F26" s="28" t="s">
        <v>172</v>
      </c>
      <c r="G26" s="29">
        <v>4</v>
      </c>
      <c r="H26" s="29"/>
      <c r="I26" s="29"/>
      <c r="J26" s="29"/>
      <c r="K26" s="29"/>
      <c r="L26" s="41" t="str">
        <f>HYPERLINK("\\mycloudpr2100\ПДО учет\ММЗ\Проект 12560\12560.247.08 Кронштейн (А4).pdf","12560.247.08")</f>
        <v>12560.247.08</v>
      </c>
      <c r="M26" s="25" t="s">
        <v>32</v>
      </c>
      <c r="N26" s="25"/>
      <c r="O26" s="25">
        <v>1</v>
      </c>
      <c r="P26" s="25"/>
      <c r="Q26" s="25">
        <f t="shared" si="12"/>
        <v>200</v>
      </c>
      <c r="R26" s="25">
        <f t="shared" si="13"/>
        <v>200</v>
      </c>
      <c r="S26" s="25">
        <f t="shared" si="14"/>
        <v>200</v>
      </c>
      <c r="T26" s="25">
        <f t="shared" si="15"/>
        <v>180</v>
      </c>
      <c r="U26" s="25">
        <f t="shared" si="16"/>
        <v>180</v>
      </c>
      <c r="V26" s="25">
        <f t="shared" si="17"/>
        <v>960</v>
      </c>
      <c r="W26" s="31"/>
      <c r="X26" s="31"/>
      <c r="Y26" s="32"/>
      <c r="Z26" s="33"/>
      <c r="AA26" s="33"/>
      <c r="AB26" s="33"/>
      <c r="AC26" s="33"/>
      <c r="AD26" s="33"/>
      <c r="AE26" s="34"/>
      <c r="AF26" s="35"/>
      <c r="AG26" s="36"/>
      <c r="AH26" s="37"/>
      <c r="AI26" s="33"/>
      <c r="AJ26" s="38"/>
    </row>
    <row r="27" spans="1:36" hidden="1" x14ac:dyDescent="0.25">
      <c r="A27" s="51">
        <v>27</v>
      </c>
      <c r="B27" s="26"/>
      <c r="C27" s="26"/>
      <c r="D27" s="26"/>
      <c r="E27" s="26"/>
      <c r="F27" s="28" t="s">
        <v>2</v>
      </c>
      <c r="G27" s="29">
        <v>5</v>
      </c>
      <c r="H27" s="29"/>
      <c r="I27" s="29"/>
      <c r="J27" s="29"/>
      <c r="K27" s="29"/>
      <c r="L27" s="25" t="s">
        <v>315</v>
      </c>
      <c r="M27" s="25"/>
      <c r="N27" s="25"/>
      <c r="O27" s="25">
        <v>2</v>
      </c>
      <c r="P27" s="25"/>
      <c r="Q27" s="25">
        <f t="shared" si="12"/>
        <v>400</v>
      </c>
      <c r="R27" s="25">
        <f t="shared" si="13"/>
        <v>400</v>
      </c>
      <c r="S27" s="25">
        <f t="shared" si="14"/>
        <v>400</v>
      </c>
      <c r="T27" s="25">
        <f t="shared" si="15"/>
        <v>360</v>
      </c>
      <c r="U27" s="25">
        <f t="shared" si="16"/>
        <v>360</v>
      </c>
      <c r="V27" s="25">
        <f t="shared" si="17"/>
        <v>1920</v>
      </c>
      <c r="W27" s="31"/>
      <c r="X27" s="31"/>
      <c r="Y27" s="32"/>
      <c r="Z27" s="33"/>
      <c r="AA27" s="33"/>
      <c r="AB27" s="33"/>
      <c r="AC27" s="33"/>
      <c r="AD27" s="33"/>
      <c r="AE27" s="34"/>
      <c r="AF27" s="35"/>
      <c r="AG27" s="36"/>
      <c r="AH27" s="37"/>
      <c r="AI27" s="33"/>
      <c r="AJ27" s="38"/>
    </row>
    <row r="28" spans="1:36" hidden="1" x14ac:dyDescent="0.25">
      <c r="A28" s="51">
        <v>28</v>
      </c>
      <c r="B28" s="26"/>
      <c r="C28" s="26"/>
      <c r="D28" s="26"/>
      <c r="E28" s="26"/>
      <c r="F28" s="28" t="s">
        <v>2</v>
      </c>
      <c r="G28" s="29">
        <v>6</v>
      </c>
      <c r="H28" s="29"/>
      <c r="I28" s="29"/>
      <c r="J28" s="29"/>
      <c r="K28" s="29"/>
      <c r="L28" s="25" t="s">
        <v>310</v>
      </c>
      <c r="M28" s="25"/>
      <c r="N28" s="25"/>
      <c r="O28" s="25">
        <v>2</v>
      </c>
      <c r="P28" s="25"/>
      <c r="Q28" s="25">
        <f t="shared" si="12"/>
        <v>400</v>
      </c>
      <c r="R28" s="25">
        <f t="shared" si="13"/>
        <v>400</v>
      </c>
      <c r="S28" s="25">
        <f t="shared" si="14"/>
        <v>400</v>
      </c>
      <c r="T28" s="25">
        <f t="shared" si="15"/>
        <v>360</v>
      </c>
      <c r="U28" s="25">
        <f t="shared" si="16"/>
        <v>360</v>
      </c>
      <c r="V28" s="25">
        <f t="shared" si="17"/>
        <v>1920</v>
      </c>
      <c r="W28" s="31"/>
      <c r="X28" s="31"/>
      <c r="Y28" s="32"/>
      <c r="Z28" s="33"/>
      <c r="AA28" s="33"/>
      <c r="AB28" s="33"/>
      <c r="AC28" s="33"/>
      <c r="AD28" s="33"/>
      <c r="AE28" s="34"/>
      <c r="AF28" s="35"/>
      <c r="AG28" s="36"/>
      <c r="AH28" s="37"/>
      <c r="AI28" s="33"/>
      <c r="AJ28" s="38"/>
    </row>
    <row r="29" spans="1:36" hidden="1" x14ac:dyDescent="0.25">
      <c r="A29" s="51">
        <v>29</v>
      </c>
      <c r="B29" s="26"/>
      <c r="C29" s="26"/>
      <c r="D29" s="26"/>
      <c r="E29" s="26"/>
      <c r="F29" s="28" t="s">
        <v>2</v>
      </c>
      <c r="G29" s="29">
        <v>7</v>
      </c>
      <c r="H29" s="29"/>
      <c r="I29" s="29"/>
      <c r="J29" s="29"/>
      <c r="K29" s="29"/>
      <c r="L29" s="25" t="s">
        <v>311</v>
      </c>
      <c r="M29" s="25"/>
      <c r="N29" s="25"/>
      <c r="O29" s="25">
        <v>4</v>
      </c>
      <c r="P29" s="25"/>
      <c r="Q29" s="25">
        <f t="shared" si="12"/>
        <v>800</v>
      </c>
      <c r="R29" s="25">
        <f t="shared" si="13"/>
        <v>800</v>
      </c>
      <c r="S29" s="25">
        <f t="shared" si="14"/>
        <v>800</v>
      </c>
      <c r="T29" s="25">
        <f t="shared" si="15"/>
        <v>720</v>
      </c>
      <c r="U29" s="25">
        <f t="shared" si="16"/>
        <v>720</v>
      </c>
      <c r="V29" s="25">
        <f t="shared" si="17"/>
        <v>3840</v>
      </c>
      <c r="W29" s="31"/>
      <c r="X29" s="31"/>
      <c r="Y29" s="32"/>
      <c r="Z29" s="33"/>
      <c r="AA29" s="33"/>
      <c r="AB29" s="33"/>
      <c r="AC29" s="33"/>
      <c r="AD29" s="33"/>
      <c r="AE29" s="34"/>
      <c r="AF29" s="35"/>
      <c r="AG29" s="36"/>
      <c r="AH29" s="37"/>
      <c r="AI29" s="33"/>
      <c r="AJ29" s="38"/>
    </row>
    <row r="30" spans="1:36" hidden="1" x14ac:dyDescent="0.25">
      <c r="A30" s="51">
        <v>30</v>
      </c>
      <c r="B30" s="26"/>
      <c r="C30" s="26"/>
      <c r="D30" s="26"/>
      <c r="E30" s="26"/>
      <c r="F30" s="28" t="s">
        <v>2</v>
      </c>
      <c r="G30" s="29">
        <v>8</v>
      </c>
      <c r="H30" s="29"/>
      <c r="I30" s="29"/>
      <c r="J30" s="29"/>
      <c r="K30" s="29"/>
      <c r="L30" s="25" t="s">
        <v>312</v>
      </c>
      <c r="M30" s="25"/>
      <c r="N30" s="25"/>
      <c r="O30" s="25">
        <v>8</v>
      </c>
      <c r="P30" s="25"/>
      <c r="Q30" s="25">
        <f t="shared" si="12"/>
        <v>1600</v>
      </c>
      <c r="R30" s="25">
        <f t="shared" si="13"/>
        <v>1600</v>
      </c>
      <c r="S30" s="25">
        <f t="shared" si="14"/>
        <v>1600</v>
      </c>
      <c r="T30" s="25">
        <f t="shared" si="15"/>
        <v>1440</v>
      </c>
      <c r="U30" s="25">
        <f t="shared" si="16"/>
        <v>1440</v>
      </c>
      <c r="V30" s="25">
        <f t="shared" si="17"/>
        <v>7680</v>
      </c>
      <c r="W30" s="31"/>
      <c r="X30" s="31"/>
      <c r="Y30" s="32"/>
      <c r="Z30" s="33"/>
      <c r="AA30" s="33"/>
      <c r="AB30" s="33"/>
      <c r="AC30" s="33"/>
      <c r="AD30" s="33"/>
      <c r="AE30" s="34"/>
      <c r="AF30" s="35"/>
      <c r="AG30" s="36"/>
      <c r="AH30" s="37"/>
      <c r="AI30" s="33"/>
      <c r="AJ30" s="38"/>
    </row>
    <row r="31" spans="1:36" hidden="1" x14ac:dyDescent="0.25">
      <c r="A31" s="51">
        <v>31</v>
      </c>
      <c r="B31" s="26"/>
      <c r="C31" s="26"/>
      <c r="D31" s="26"/>
      <c r="E31" s="26"/>
      <c r="F31" s="28" t="s">
        <v>2</v>
      </c>
      <c r="G31" s="29">
        <v>9</v>
      </c>
      <c r="H31" s="29"/>
      <c r="I31" s="29"/>
      <c r="J31" s="29"/>
      <c r="K31" s="29"/>
      <c r="L31" s="25" t="s">
        <v>313</v>
      </c>
      <c r="M31" s="25"/>
      <c r="N31" s="25"/>
      <c r="O31" s="25">
        <v>2</v>
      </c>
      <c r="P31" s="25"/>
      <c r="Q31" s="25">
        <f t="shared" si="12"/>
        <v>400</v>
      </c>
      <c r="R31" s="25">
        <f t="shared" si="13"/>
        <v>400</v>
      </c>
      <c r="S31" s="25">
        <f t="shared" si="14"/>
        <v>400</v>
      </c>
      <c r="T31" s="25">
        <f t="shared" si="15"/>
        <v>360</v>
      </c>
      <c r="U31" s="25">
        <f t="shared" si="16"/>
        <v>360</v>
      </c>
      <c r="V31" s="25">
        <f t="shared" si="17"/>
        <v>1920</v>
      </c>
      <c r="W31" s="31"/>
      <c r="X31" s="31"/>
      <c r="Y31" s="32"/>
      <c r="Z31" s="33"/>
      <c r="AA31" s="33"/>
      <c r="AB31" s="33"/>
      <c r="AC31" s="33"/>
      <c r="AD31" s="33"/>
      <c r="AE31" s="34"/>
      <c r="AF31" s="35"/>
      <c r="AG31" s="36"/>
      <c r="AH31" s="37"/>
      <c r="AI31" s="33"/>
      <c r="AJ31" s="38"/>
    </row>
    <row r="32" spans="1:36" hidden="1" x14ac:dyDescent="0.25">
      <c r="A32" s="51">
        <v>32</v>
      </c>
      <c r="B32" s="26"/>
      <c r="C32" s="26"/>
      <c r="D32" s="26"/>
      <c r="E32" s="26"/>
      <c r="F32" s="28" t="s">
        <v>295</v>
      </c>
      <c r="G32" s="29"/>
      <c r="H32" s="29"/>
      <c r="I32" s="29"/>
      <c r="J32" s="29"/>
      <c r="K32" s="29"/>
      <c r="L32" s="25" t="s">
        <v>314</v>
      </c>
      <c r="M32" s="25"/>
      <c r="N32" s="25"/>
      <c r="O32" s="25" t="s">
        <v>297</v>
      </c>
      <c r="P32" s="25"/>
      <c r="Q32" s="25" t="e">
        <f t="shared" si="12"/>
        <v>#VALUE!</v>
      </c>
      <c r="R32" s="25" t="e">
        <f t="shared" si="13"/>
        <v>#VALUE!</v>
      </c>
      <c r="S32" s="25" t="e">
        <f t="shared" si="14"/>
        <v>#VALUE!</v>
      </c>
      <c r="T32" s="25" t="e">
        <f t="shared" si="15"/>
        <v>#VALUE!</v>
      </c>
      <c r="U32" s="25" t="e">
        <f t="shared" si="16"/>
        <v>#VALUE!</v>
      </c>
      <c r="V32" s="25" t="e">
        <f t="shared" si="17"/>
        <v>#VALUE!</v>
      </c>
      <c r="W32" s="31"/>
      <c r="X32" s="31"/>
      <c r="Y32" s="32"/>
      <c r="Z32" s="33"/>
      <c r="AA32" s="33"/>
      <c r="AB32" s="33"/>
      <c r="AC32" s="33"/>
      <c r="AD32" s="33"/>
      <c r="AE32" s="34"/>
      <c r="AF32" s="35"/>
      <c r="AG32" s="36"/>
      <c r="AH32" s="37"/>
      <c r="AI32" s="33"/>
      <c r="AJ32" s="38"/>
    </row>
    <row r="33" spans="1:36" hidden="1" x14ac:dyDescent="0.25">
      <c r="A33" s="43">
        <v>33</v>
      </c>
      <c r="B33" s="58">
        <f>B119+1</f>
        <v>53</v>
      </c>
      <c r="C33" s="58"/>
      <c r="D33" s="58"/>
      <c r="E33" s="58"/>
      <c r="F33" s="59" t="s">
        <v>170</v>
      </c>
      <c r="G33" s="46"/>
      <c r="H33" s="46"/>
      <c r="I33" s="46"/>
      <c r="J33" s="46"/>
      <c r="K33" s="46"/>
      <c r="L33" s="61" t="str">
        <f>HYPERLINK("\\mycloudpr2100\ПДО учет\ММЗ\Проект 12560\12560.282.00 СБ Кронштейн (А4х3).pdf","12560.282.00СБ")</f>
        <v>12560.282.00СБ</v>
      </c>
      <c r="M33" s="61" t="str">
        <f>HYPERLINK("\\mycloudpr2100\ПДО учет\ММЗ\Проект 12560\12560.282.00 Кронштейн (А4).pdf","Кронштейн")</f>
        <v>Кронштейн</v>
      </c>
      <c r="N33" s="30"/>
      <c r="O33" s="60"/>
      <c r="P33" s="60"/>
      <c r="Q33" s="60">
        <v>200</v>
      </c>
      <c r="R33" s="60">
        <v>200</v>
      </c>
      <c r="S33" s="60">
        <v>200</v>
      </c>
      <c r="T33" s="60">
        <v>180</v>
      </c>
      <c r="U33" s="60">
        <v>180</v>
      </c>
      <c r="V33" s="60">
        <f>Q33+R33+S33+T33+U33</f>
        <v>960</v>
      </c>
      <c r="W33" s="62"/>
      <c r="X33" s="62"/>
      <c r="Y33" s="48"/>
      <c r="Z33" s="63"/>
      <c r="AA33" s="63"/>
      <c r="AB33" s="63"/>
      <c r="AC33" s="63"/>
      <c r="AD33" s="63"/>
      <c r="AE33" s="64"/>
      <c r="AF33" s="65"/>
      <c r="AG33" s="66"/>
      <c r="AH33" s="67"/>
      <c r="AI33" s="63"/>
      <c r="AJ33" s="60"/>
    </row>
    <row r="34" spans="1:36" hidden="1" x14ac:dyDescent="0.25">
      <c r="A34" s="51">
        <v>34</v>
      </c>
      <c r="B34" s="26"/>
      <c r="C34" s="26" t="s">
        <v>333</v>
      </c>
      <c r="D34" s="26"/>
      <c r="E34" s="26"/>
      <c r="F34" s="28" t="s">
        <v>172</v>
      </c>
      <c r="G34" s="29">
        <v>1</v>
      </c>
      <c r="H34" s="29"/>
      <c r="I34" s="29"/>
      <c r="J34" s="29"/>
      <c r="K34" s="29"/>
      <c r="L34" s="41" t="str">
        <f>HYPERLINK("\\mycloudpr2100\ПДО учет\ММЗ\Проект 12560\12560.282.01 Кронштейн (А1).pdf","12560.282.01")</f>
        <v>12560.282.01</v>
      </c>
      <c r="M34" s="25" t="s">
        <v>32</v>
      </c>
      <c r="N34" s="25"/>
      <c r="O34" s="25">
        <v>1</v>
      </c>
      <c r="P34" s="25"/>
      <c r="Q34" s="25">
        <f>$Q$33*O34</f>
        <v>200</v>
      </c>
      <c r="R34" s="25">
        <f>$R$33*O34</f>
        <v>200</v>
      </c>
      <c r="S34" s="25">
        <f>$S$33*O34</f>
        <v>200</v>
      </c>
      <c r="T34" s="25">
        <f>$T$33*O34</f>
        <v>180</v>
      </c>
      <c r="U34" s="25">
        <f>$U$33*O34</f>
        <v>180</v>
      </c>
      <c r="V34" s="25">
        <f>$V$33*O34</f>
        <v>960</v>
      </c>
      <c r="W34" s="31"/>
      <c r="X34" s="31"/>
      <c r="Y34" s="32"/>
      <c r="Z34" s="33"/>
      <c r="AA34" s="33"/>
      <c r="AB34" s="33"/>
      <c r="AC34" s="33"/>
      <c r="AD34" s="33"/>
      <c r="AE34" s="34"/>
      <c r="AF34" s="35"/>
      <c r="AG34" s="36"/>
      <c r="AH34" s="37"/>
      <c r="AI34" s="33"/>
      <c r="AJ34" s="38"/>
    </row>
    <row r="35" spans="1:36" hidden="1" x14ac:dyDescent="0.25">
      <c r="A35" s="51">
        <v>35</v>
      </c>
      <c r="B35" s="26"/>
      <c r="C35" s="26" t="s">
        <v>333</v>
      </c>
      <c r="D35" s="26"/>
      <c r="E35" s="26"/>
      <c r="F35" s="28" t="s">
        <v>172</v>
      </c>
      <c r="G35" s="29">
        <v>2</v>
      </c>
      <c r="H35" s="29"/>
      <c r="I35" s="29"/>
      <c r="J35" s="29"/>
      <c r="K35" s="29"/>
      <c r="L35" s="41" t="str">
        <f>HYPERLINK("\\mycloudpr2100\ПДО учет\ММЗ\Проект 12560\12560.282.02 Упор (А3).pdf","12560.282.02")</f>
        <v>12560.282.02</v>
      </c>
      <c r="M35" s="25" t="s">
        <v>118</v>
      </c>
      <c r="N35" s="25"/>
      <c r="O35" s="25">
        <v>1</v>
      </c>
      <c r="P35" s="25"/>
      <c r="Q35" s="25">
        <f t="shared" ref="Q35:Q42" si="18">$Q$33*O35</f>
        <v>200</v>
      </c>
      <c r="R35" s="25">
        <f t="shared" ref="R35:R42" si="19">$R$33*O35</f>
        <v>200</v>
      </c>
      <c r="S35" s="25">
        <f t="shared" ref="S35:S42" si="20">$S$33*O35</f>
        <v>200</v>
      </c>
      <c r="T35" s="25">
        <f t="shared" ref="T35:T42" si="21">$T$33*O35</f>
        <v>180</v>
      </c>
      <c r="U35" s="25">
        <f t="shared" ref="U35:U42" si="22">$U$33*O35</f>
        <v>180</v>
      </c>
      <c r="V35" s="25">
        <f t="shared" ref="V35:V42" si="23">$V$33*O35</f>
        <v>960</v>
      </c>
      <c r="W35" s="31"/>
      <c r="X35" s="31"/>
      <c r="Y35" s="32"/>
      <c r="Z35" s="33"/>
      <c r="AA35" s="33"/>
      <c r="AB35" s="33"/>
      <c r="AC35" s="33"/>
      <c r="AD35" s="33"/>
      <c r="AE35" s="34"/>
      <c r="AF35" s="35"/>
      <c r="AG35" s="36"/>
      <c r="AH35" s="37"/>
      <c r="AI35" s="33"/>
      <c r="AJ35" s="38"/>
    </row>
    <row r="36" spans="1:36" hidden="1" x14ac:dyDescent="0.25">
      <c r="A36" s="51">
        <v>36</v>
      </c>
      <c r="B36" s="26"/>
      <c r="C36" s="26"/>
      <c r="D36" s="26"/>
      <c r="E36" s="26"/>
      <c r="F36" s="28" t="s">
        <v>172</v>
      </c>
      <c r="G36" s="29">
        <v>3</v>
      </c>
      <c r="H36" s="29"/>
      <c r="I36" s="29"/>
      <c r="J36" s="29"/>
      <c r="K36" s="29"/>
      <c r="L36" s="41" t="str">
        <f>HYPERLINK("\\mycloudpr2100\ПДО учет\ММЗ\Проект 12560\12560.282.03 Ось (А4).pdf","12560.282.03")</f>
        <v>12560.282.03</v>
      </c>
      <c r="M36" s="25" t="s">
        <v>89</v>
      </c>
      <c r="N36" s="25"/>
      <c r="O36" s="25">
        <v>1</v>
      </c>
      <c r="P36" s="25"/>
      <c r="Q36" s="25">
        <f t="shared" si="18"/>
        <v>200</v>
      </c>
      <c r="R36" s="25">
        <f t="shared" si="19"/>
        <v>200</v>
      </c>
      <c r="S36" s="25">
        <f t="shared" si="20"/>
        <v>200</v>
      </c>
      <c r="T36" s="25">
        <f t="shared" si="21"/>
        <v>180</v>
      </c>
      <c r="U36" s="25">
        <f t="shared" si="22"/>
        <v>180</v>
      </c>
      <c r="V36" s="25">
        <f t="shared" si="23"/>
        <v>960</v>
      </c>
      <c r="W36" s="31"/>
      <c r="X36" s="31"/>
      <c r="Y36" s="32"/>
      <c r="Z36" s="33"/>
      <c r="AA36" s="33"/>
      <c r="AB36" s="33"/>
      <c r="AC36" s="33"/>
      <c r="AD36" s="33"/>
      <c r="AE36" s="34"/>
      <c r="AF36" s="35"/>
      <c r="AG36" s="36"/>
      <c r="AH36" s="37"/>
      <c r="AI36" s="33"/>
      <c r="AJ36" s="38"/>
    </row>
    <row r="37" spans="1:36" x14ac:dyDescent="0.25">
      <c r="A37" s="51">
        <v>37</v>
      </c>
      <c r="B37" s="26"/>
      <c r="C37" s="26"/>
      <c r="D37" s="26" t="s">
        <v>331</v>
      </c>
      <c r="E37" s="26"/>
      <c r="F37" s="28" t="s">
        <v>172</v>
      </c>
      <c r="G37" s="29">
        <v>4</v>
      </c>
      <c r="H37" s="29"/>
      <c r="I37" s="29"/>
      <c r="J37" s="29"/>
      <c r="K37" s="29"/>
      <c r="L37" s="41" t="str">
        <f>HYPERLINK("\\mycloudpr2100\ПДО учет\ММЗ\Проект 12560\12560.282.04 Пружина (А3).pdf","12560.282.04")</f>
        <v>12560.282.04</v>
      </c>
      <c r="M37" s="25" t="s">
        <v>121</v>
      </c>
      <c r="N37" s="25"/>
      <c r="O37" s="25">
        <v>1</v>
      </c>
      <c r="P37" s="25"/>
      <c r="Q37" s="25">
        <f t="shared" si="18"/>
        <v>200</v>
      </c>
      <c r="R37" s="25">
        <f t="shared" si="19"/>
        <v>200</v>
      </c>
      <c r="S37" s="25">
        <f t="shared" si="20"/>
        <v>200</v>
      </c>
      <c r="T37" s="25">
        <f t="shared" si="21"/>
        <v>180</v>
      </c>
      <c r="U37" s="25">
        <f t="shared" si="22"/>
        <v>180</v>
      </c>
      <c r="V37" s="25">
        <f t="shared" si="23"/>
        <v>960</v>
      </c>
      <c r="W37" s="31"/>
      <c r="X37" s="31"/>
      <c r="Y37" s="32"/>
      <c r="Z37" s="33"/>
      <c r="AA37" s="33"/>
      <c r="AB37" s="33"/>
      <c r="AC37" s="33"/>
      <c r="AD37" s="33"/>
      <c r="AE37" s="34"/>
      <c r="AF37" s="35"/>
      <c r="AG37" s="36"/>
      <c r="AH37" s="37"/>
      <c r="AI37" s="33"/>
      <c r="AJ37" s="38"/>
    </row>
    <row r="38" spans="1:36" hidden="1" x14ac:dyDescent="0.25">
      <c r="A38" s="51">
        <v>38</v>
      </c>
      <c r="B38" s="26"/>
      <c r="C38" s="26"/>
      <c r="D38" s="26"/>
      <c r="E38" s="26"/>
      <c r="F38" s="28" t="s">
        <v>172</v>
      </c>
      <c r="G38" s="29">
        <v>5</v>
      </c>
      <c r="H38" s="29"/>
      <c r="I38" s="29"/>
      <c r="J38" s="29"/>
      <c r="K38" s="29"/>
      <c r="L38" s="25" t="s">
        <v>316</v>
      </c>
      <c r="M38" s="25" t="s">
        <v>122</v>
      </c>
      <c r="N38" s="25"/>
      <c r="O38" s="25">
        <v>1</v>
      </c>
      <c r="P38" s="25"/>
      <c r="Q38" s="25">
        <f t="shared" si="18"/>
        <v>200</v>
      </c>
      <c r="R38" s="25">
        <f t="shared" si="19"/>
        <v>200</v>
      </c>
      <c r="S38" s="25">
        <f t="shared" si="20"/>
        <v>200</v>
      </c>
      <c r="T38" s="25">
        <f t="shared" si="21"/>
        <v>180</v>
      </c>
      <c r="U38" s="25">
        <f t="shared" si="22"/>
        <v>180</v>
      </c>
      <c r="V38" s="25">
        <f t="shared" si="23"/>
        <v>960</v>
      </c>
      <c r="W38" s="31"/>
      <c r="X38" s="31"/>
      <c r="Y38" s="32"/>
      <c r="Z38" s="33"/>
      <c r="AA38" s="33"/>
      <c r="AB38" s="33"/>
      <c r="AC38" s="33"/>
      <c r="AD38" s="33"/>
      <c r="AE38" s="34"/>
      <c r="AF38" s="35"/>
      <c r="AG38" s="36"/>
      <c r="AH38" s="37"/>
      <c r="AI38" s="33"/>
      <c r="AJ38" s="38"/>
    </row>
    <row r="39" spans="1:36" hidden="1" x14ac:dyDescent="0.25">
      <c r="A39" s="51">
        <v>39</v>
      </c>
      <c r="B39" s="26"/>
      <c r="C39" s="26"/>
      <c r="D39" s="26"/>
      <c r="E39" s="26"/>
      <c r="F39" s="28" t="s">
        <v>2</v>
      </c>
      <c r="G39" s="29">
        <v>6</v>
      </c>
      <c r="H39" s="29"/>
      <c r="I39" s="29"/>
      <c r="J39" s="29"/>
      <c r="K39" s="29"/>
      <c r="L39" s="25" t="s">
        <v>317</v>
      </c>
      <c r="M39" s="25"/>
      <c r="N39" s="25"/>
      <c r="O39" s="25">
        <v>2</v>
      </c>
      <c r="P39" s="25"/>
      <c r="Q39" s="25">
        <f t="shared" si="18"/>
        <v>400</v>
      </c>
      <c r="R39" s="25">
        <f t="shared" si="19"/>
        <v>400</v>
      </c>
      <c r="S39" s="25">
        <f t="shared" si="20"/>
        <v>400</v>
      </c>
      <c r="T39" s="25">
        <f t="shared" si="21"/>
        <v>360</v>
      </c>
      <c r="U39" s="25">
        <f t="shared" si="22"/>
        <v>360</v>
      </c>
      <c r="V39" s="25">
        <f t="shared" si="23"/>
        <v>1920</v>
      </c>
      <c r="W39" s="31"/>
      <c r="X39" s="31"/>
      <c r="Y39" s="32"/>
      <c r="Z39" s="33"/>
      <c r="AA39" s="33"/>
      <c r="AB39" s="33"/>
      <c r="AC39" s="33"/>
      <c r="AD39" s="33"/>
      <c r="AE39" s="34"/>
      <c r="AF39" s="35"/>
      <c r="AG39" s="36"/>
      <c r="AH39" s="37"/>
      <c r="AI39" s="33"/>
      <c r="AJ39" s="38"/>
    </row>
    <row r="40" spans="1:36" hidden="1" x14ac:dyDescent="0.25">
      <c r="A40" s="51">
        <v>40</v>
      </c>
      <c r="B40" s="26"/>
      <c r="C40" s="26"/>
      <c r="D40" s="26"/>
      <c r="E40" s="26"/>
      <c r="F40" s="28" t="s">
        <v>2</v>
      </c>
      <c r="G40" s="29">
        <v>7</v>
      </c>
      <c r="H40" s="29"/>
      <c r="I40" s="29"/>
      <c r="J40" s="29"/>
      <c r="K40" s="29"/>
      <c r="L40" s="25" t="s">
        <v>318</v>
      </c>
      <c r="M40" s="25"/>
      <c r="N40" s="25"/>
      <c r="O40" s="25">
        <v>1</v>
      </c>
      <c r="P40" s="25"/>
      <c r="Q40" s="25">
        <f t="shared" si="18"/>
        <v>200</v>
      </c>
      <c r="R40" s="25">
        <f t="shared" si="19"/>
        <v>200</v>
      </c>
      <c r="S40" s="25">
        <f t="shared" si="20"/>
        <v>200</v>
      </c>
      <c r="T40" s="25">
        <f t="shared" si="21"/>
        <v>180</v>
      </c>
      <c r="U40" s="25">
        <f t="shared" si="22"/>
        <v>180</v>
      </c>
      <c r="V40" s="25">
        <f t="shared" si="23"/>
        <v>960</v>
      </c>
      <c r="W40" s="31"/>
      <c r="X40" s="31"/>
      <c r="Y40" s="32"/>
      <c r="Z40" s="33"/>
      <c r="AA40" s="33"/>
      <c r="AB40" s="33"/>
      <c r="AC40" s="33"/>
      <c r="AD40" s="33"/>
      <c r="AE40" s="34"/>
      <c r="AF40" s="35"/>
      <c r="AG40" s="36"/>
      <c r="AH40" s="37"/>
      <c r="AI40" s="33"/>
      <c r="AJ40" s="38"/>
    </row>
    <row r="41" spans="1:36" hidden="1" x14ac:dyDescent="0.25">
      <c r="A41" s="51">
        <v>41</v>
      </c>
      <c r="B41" s="26"/>
      <c r="C41" s="26"/>
      <c r="D41" s="26"/>
      <c r="E41" s="26"/>
      <c r="F41" s="28" t="s">
        <v>295</v>
      </c>
      <c r="G41" s="29"/>
      <c r="H41" s="29"/>
      <c r="I41" s="29"/>
      <c r="J41" s="29"/>
      <c r="K41" s="29"/>
      <c r="L41" s="25" t="s">
        <v>319</v>
      </c>
      <c r="M41" s="25"/>
      <c r="N41" s="25"/>
      <c r="O41" s="25" t="s">
        <v>297</v>
      </c>
      <c r="P41" s="25"/>
      <c r="Q41" s="25" t="e">
        <f t="shared" si="18"/>
        <v>#VALUE!</v>
      </c>
      <c r="R41" s="25" t="e">
        <f t="shared" si="19"/>
        <v>#VALUE!</v>
      </c>
      <c r="S41" s="25" t="e">
        <f t="shared" si="20"/>
        <v>#VALUE!</v>
      </c>
      <c r="T41" s="25" t="e">
        <f t="shared" si="21"/>
        <v>#VALUE!</v>
      </c>
      <c r="U41" s="25" t="e">
        <f t="shared" si="22"/>
        <v>#VALUE!</v>
      </c>
      <c r="V41" s="25" t="e">
        <f t="shared" si="23"/>
        <v>#VALUE!</v>
      </c>
      <c r="W41" s="31"/>
      <c r="X41" s="31"/>
      <c r="Y41" s="32"/>
      <c r="Z41" s="33"/>
      <c r="AA41" s="33"/>
      <c r="AB41" s="33"/>
      <c r="AC41" s="33"/>
      <c r="AD41" s="33"/>
      <c r="AE41" s="34"/>
      <c r="AF41" s="35"/>
      <c r="AG41" s="36"/>
      <c r="AH41" s="37"/>
      <c r="AI41" s="33"/>
      <c r="AJ41" s="38"/>
    </row>
    <row r="42" spans="1:36" hidden="1" x14ac:dyDescent="0.25">
      <c r="A42" s="51">
        <v>42</v>
      </c>
      <c r="B42" s="26"/>
      <c r="C42" s="26"/>
      <c r="D42" s="26"/>
      <c r="E42" s="26"/>
      <c r="F42" s="28" t="s">
        <v>295</v>
      </c>
      <c r="G42" s="29"/>
      <c r="H42" s="29"/>
      <c r="I42" s="29"/>
      <c r="J42" s="29"/>
      <c r="K42" s="29"/>
      <c r="L42" s="25" t="s">
        <v>320</v>
      </c>
      <c r="M42" s="25"/>
      <c r="N42" s="25"/>
      <c r="O42" s="25" t="s">
        <v>297</v>
      </c>
      <c r="P42" s="25"/>
      <c r="Q42" s="25" t="e">
        <f t="shared" si="18"/>
        <v>#VALUE!</v>
      </c>
      <c r="R42" s="25" t="e">
        <f t="shared" si="19"/>
        <v>#VALUE!</v>
      </c>
      <c r="S42" s="25" t="e">
        <f t="shared" si="20"/>
        <v>#VALUE!</v>
      </c>
      <c r="T42" s="25" t="e">
        <f t="shared" si="21"/>
        <v>#VALUE!</v>
      </c>
      <c r="U42" s="25" t="e">
        <f t="shared" si="22"/>
        <v>#VALUE!</v>
      </c>
      <c r="V42" s="25" t="e">
        <f t="shared" si="23"/>
        <v>#VALUE!</v>
      </c>
      <c r="W42" s="31"/>
      <c r="X42" s="31"/>
      <c r="Y42" s="32"/>
      <c r="Z42" s="33"/>
      <c r="AA42" s="33"/>
      <c r="AB42" s="33"/>
      <c r="AC42" s="33"/>
      <c r="AD42" s="33"/>
      <c r="AE42" s="34"/>
      <c r="AF42" s="35"/>
      <c r="AG42" s="36"/>
      <c r="AH42" s="37"/>
      <c r="AI42" s="33"/>
      <c r="AJ42" s="38"/>
    </row>
    <row r="43" spans="1:36" hidden="1" x14ac:dyDescent="0.25">
      <c r="A43" s="43">
        <v>43</v>
      </c>
      <c r="B43" s="58">
        <v>54</v>
      </c>
      <c r="C43" s="58"/>
      <c r="D43" s="58"/>
      <c r="E43" s="58"/>
      <c r="F43" s="59" t="s">
        <v>170</v>
      </c>
      <c r="G43" s="46"/>
      <c r="H43" s="46"/>
      <c r="I43" s="46"/>
      <c r="J43" s="46"/>
      <c r="K43" s="46"/>
      <c r="L43" s="61" t="str">
        <f>HYPERLINK("\\mycloudpr2100\ПДО учет\ММЗ\Проект 12560\12560.283.00 СБ Тяга (А3).pdf","12560.283.00СБ")</f>
        <v>12560.283.00СБ</v>
      </c>
      <c r="M43" s="61" t="str">
        <f>HYPERLINK("\\mycloudpr2100\ПДО учет\ММЗ\Проект 12560\12560.283.00 Тяга (А4).pdf","Тяга")</f>
        <v>Тяга</v>
      </c>
      <c r="N43" s="30"/>
      <c r="O43" s="60"/>
      <c r="P43" s="60"/>
      <c r="Q43" s="60">
        <v>400</v>
      </c>
      <c r="R43" s="60">
        <v>400</v>
      </c>
      <c r="S43" s="60">
        <v>400</v>
      </c>
      <c r="T43" s="60">
        <v>360</v>
      </c>
      <c r="U43" s="60">
        <v>360</v>
      </c>
      <c r="V43" s="60">
        <f>Q43+R43+S43+T43+U43</f>
        <v>1920</v>
      </c>
      <c r="W43" s="62"/>
      <c r="X43" s="62"/>
      <c r="Y43" s="48"/>
      <c r="Z43" s="63"/>
      <c r="AA43" s="63"/>
      <c r="AB43" s="63"/>
      <c r="AC43" s="63"/>
      <c r="AD43" s="63"/>
      <c r="AE43" s="64"/>
      <c r="AF43" s="65"/>
      <c r="AG43" s="66"/>
      <c r="AH43" s="67"/>
      <c r="AI43" s="63"/>
      <c r="AJ43" s="60"/>
    </row>
    <row r="44" spans="1:36" hidden="1" x14ac:dyDescent="0.25">
      <c r="A44" s="51">
        <v>44</v>
      </c>
      <c r="B44" s="26"/>
      <c r="C44" s="26"/>
      <c r="D44" s="26"/>
      <c r="E44" s="26"/>
      <c r="F44" s="28" t="s">
        <v>172</v>
      </c>
      <c r="G44" s="29">
        <v>1</v>
      </c>
      <c r="H44" s="29"/>
      <c r="I44" s="29"/>
      <c r="J44" s="29"/>
      <c r="K44" s="29"/>
      <c r="L44" s="41" t="str">
        <f>HYPERLINK("\\mycloudpr2100\ПДО учет\ММЗ\Проект 12560\12560.283.01 Вилка (А4х3).pdf","12560.283.01")</f>
        <v>12560.283.01</v>
      </c>
      <c r="M44" s="25" t="s">
        <v>126</v>
      </c>
      <c r="N44" s="25"/>
      <c r="O44" s="25">
        <v>1</v>
      </c>
      <c r="P44" s="25"/>
      <c r="Q44" s="25">
        <f>$Q$43*O44</f>
        <v>400</v>
      </c>
      <c r="R44" s="25">
        <f>$R$43*O44</f>
        <v>400</v>
      </c>
      <c r="S44" s="25">
        <f>$S$43*O44</f>
        <v>400</v>
      </c>
      <c r="T44" s="25">
        <f>$T$43*O44</f>
        <v>360</v>
      </c>
      <c r="U44" s="25">
        <f>$U$43*O44</f>
        <v>360</v>
      </c>
      <c r="V44" s="25">
        <f>$V$43*O44</f>
        <v>1920</v>
      </c>
      <c r="W44" s="31"/>
      <c r="X44" s="31"/>
      <c r="Y44" s="32"/>
      <c r="Z44" s="33"/>
      <c r="AA44" s="33"/>
      <c r="AB44" s="33"/>
      <c r="AC44" s="33"/>
      <c r="AD44" s="33"/>
      <c r="AE44" s="34"/>
      <c r="AF44" s="35"/>
      <c r="AG44" s="36"/>
      <c r="AH44" s="37"/>
      <c r="AI44" s="33"/>
      <c r="AJ44" s="38"/>
    </row>
    <row r="45" spans="1:36" hidden="1" x14ac:dyDescent="0.25">
      <c r="A45" s="51">
        <v>45</v>
      </c>
      <c r="B45" s="26"/>
      <c r="C45" s="26"/>
      <c r="D45" s="26"/>
      <c r="E45" s="26"/>
      <c r="F45" s="28" t="s">
        <v>172</v>
      </c>
      <c r="G45" s="29">
        <v>2</v>
      </c>
      <c r="H45" s="29"/>
      <c r="I45" s="29"/>
      <c r="J45" s="29"/>
      <c r="K45" s="29"/>
      <c r="L45" s="41" t="str">
        <f>HYPERLINK("\\mycloudpr2100\ПДО учет\ММЗ\Проект 12560\12560.283.02 Гайка (А4).pdf","12560.283.02")</f>
        <v>12560.283.02</v>
      </c>
      <c r="M45" s="25" t="s">
        <v>40</v>
      </c>
      <c r="N45" s="25"/>
      <c r="O45" s="25">
        <v>1</v>
      </c>
      <c r="P45" s="25"/>
      <c r="Q45" s="25"/>
      <c r="R45" s="25"/>
      <c r="S45" s="25"/>
      <c r="T45" s="25"/>
      <c r="U45" s="25"/>
      <c r="V45" s="25"/>
      <c r="W45" s="31"/>
      <c r="X45" s="31"/>
      <c r="Y45" s="32"/>
      <c r="Z45" s="33"/>
      <c r="AA45" s="33"/>
      <c r="AB45" s="33"/>
      <c r="AC45" s="33"/>
      <c r="AD45" s="33"/>
      <c r="AE45" s="34"/>
      <c r="AF45" s="35"/>
      <c r="AG45" s="36"/>
      <c r="AH45" s="37"/>
      <c r="AI45" s="33"/>
      <c r="AJ45" s="38"/>
    </row>
    <row r="46" spans="1:36" hidden="1" x14ac:dyDescent="0.25">
      <c r="A46" s="51">
        <v>46</v>
      </c>
      <c r="B46" s="26"/>
      <c r="C46" s="26"/>
      <c r="D46" s="26"/>
      <c r="E46" s="26"/>
      <c r="F46" s="28" t="s">
        <v>172</v>
      </c>
      <c r="G46" s="29">
        <v>3</v>
      </c>
      <c r="H46" s="29"/>
      <c r="I46" s="29"/>
      <c r="J46" s="29"/>
      <c r="K46" s="29"/>
      <c r="L46" s="41" t="str">
        <f>HYPERLINK("\\mycloudpr2100\ПДО учет\ММЗ\Проект 12560\12560.283.03 Тяга (А4х3).pdf","12560.283.03")</f>
        <v>12560.283.03</v>
      </c>
      <c r="M46" s="25" t="s">
        <v>124</v>
      </c>
      <c r="N46" s="25"/>
      <c r="O46" s="25">
        <v>1</v>
      </c>
      <c r="P46" s="25"/>
      <c r="Q46" s="25"/>
      <c r="R46" s="25"/>
      <c r="S46" s="25"/>
      <c r="T46" s="25"/>
      <c r="U46" s="25"/>
      <c r="V46" s="25"/>
      <c r="W46" s="31"/>
      <c r="X46" s="31"/>
      <c r="Y46" s="32"/>
      <c r="Z46" s="33"/>
      <c r="AA46" s="33"/>
      <c r="AB46" s="33"/>
      <c r="AC46" s="33"/>
      <c r="AD46" s="33"/>
      <c r="AE46" s="34"/>
      <c r="AF46" s="35"/>
      <c r="AG46" s="36"/>
      <c r="AH46" s="37"/>
      <c r="AI46" s="33"/>
      <c r="AJ46" s="38"/>
    </row>
    <row r="47" spans="1:36" hidden="1" x14ac:dyDescent="0.25">
      <c r="A47" s="51">
        <v>47</v>
      </c>
      <c r="B47" s="26"/>
      <c r="C47" s="26"/>
      <c r="D47" s="26"/>
      <c r="E47" s="26"/>
      <c r="F47" s="28" t="s">
        <v>2</v>
      </c>
      <c r="G47" s="29">
        <v>4</v>
      </c>
      <c r="H47" s="29"/>
      <c r="I47" s="29"/>
      <c r="J47" s="29"/>
      <c r="K47" s="29"/>
      <c r="L47" s="25" t="s">
        <v>321</v>
      </c>
      <c r="M47" s="25"/>
      <c r="N47" s="25"/>
      <c r="O47" s="25">
        <v>1</v>
      </c>
      <c r="P47" s="25"/>
      <c r="Q47" s="25"/>
      <c r="R47" s="25"/>
      <c r="S47" s="25"/>
      <c r="T47" s="25"/>
      <c r="U47" s="25"/>
      <c r="V47" s="25"/>
      <c r="W47" s="31"/>
      <c r="X47" s="31"/>
      <c r="Y47" s="32"/>
      <c r="Z47" s="33"/>
      <c r="AA47" s="33"/>
      <c r="AB47" s="33"/>
      <c r="AC47" s="33"/>
      <c r="AD47" s="33"/>
      <c r="AE47" s="34"/>
      <c r="AF47" s="35"/>
      <c r="AG47" s="36"/>
      <c r="AH47" s="37"/>
      <c r="AI47" s="33"/>
      <c r="AJ47" s="38"/>
    </row>
    <row r="48" spans="1:36" hidden="1" x14ac:dyDescent="0.25">
      <c r="A48" s="43">
        <v>48</v>
      </c>
      <c r="B48" s="58">
        <v>55</v>
      </c>
      <c r="C48" s="58"/>
      <c r="D48" s="58"/>
      <c r="E48" s="58"/>
      <c r="F48" s="59" t="s">
        <v>170</v>
      </c>
      <c r="G48" s="46"/>
      <c r="H48" s="46"/>
      <c r="I48" s="46"/>
      <c r="J48" s="46"/>
      <c r="K48" s="46"/>
      <c r="L48" s="61" t="str">
        <f>HYPERLINK("\\mycloudpr2100\ПДО учет\ММЗ\Проект 12560\12560.284.00 СБ Страховочный болт (4х3).pdf","12560.284.00СБ")</f>
        <v>12560.284.00СБ</v>
      </c>
      <c r="M48" s="61" t="str">
        <f>HYPERLINK("\\mycloudpr2100\ПДО учет\ММЗ\Проект 12560\12560.284.00 Страховочный болт (А4).pdf","Страховочный болт")</f>
        <v>Страховочный болт</v>
      </c>
      <c r="N48" s="30"/>
      <c r="O48" s="60"/>
      <c r="P48" s="60"/>
      <c r="Q48" s="60">
        <v>200</v>
      </c>
      <c r="R48" s="60">
        <v>200</v>
      </c>
      <c r="S48" s="60">
        <v>200</v>
      </c>
      <c r="T48" s="60">
        <v>180</v>
      </c>
      <c r="U48" s="60">
        <v>180</v>
      </c>
      <c r="V48" s="60">
        <f>Q48+R48+S48+T48+U48</f>
        <v>960</v>
      </c>
      <c r="W48" s="62"/>
      <c r="X48" s="62"/>
      <c r="Y48" s="48"/>
      <c r="Z48" s="63"/>
      <c r="AA48" s="63"/>
      <c r="AB48" s="63"/>
      <c r="AC48" s="63"/>
      <c r="AD48" s="63"/>
      <c r="AE48" s="64"/>
      <c r="AF48" s="65"/>
      <c r="AG48" s="66"/>
      <c r="AH48" s="67"/>
      <c r="AI48" s="63"/>
      <c r="AJ48" s="60"/>
    </row>
    <row r="49" spans="1:36" hidden="1" x14ac:dyDescent="0.25">
      <c r="A49" s="51">
        <v>49</v>
      </c>
      <c r="B49" s="26"/>
      <c r="C49" s="26"/>
      <c r="D49" s="26"/>
      <c r="E49" s="26"/>
      <c r="F49" s="28" t="s">
        <v>172</v>
      </c>
      <c r="G49" s="29">
        <v>1</v>
      </c>
      <c r="H49" s="29"/>
      <c r="I49" s="29"/>
      <c r="J49" s="29"/>
      <c r="K49" s="29"/>
      <c r="L49" s="25" t="s">
        <v>322</v>
      </c>
      <c r="M49" s="25" t="s">
        <v>131</v>
      </c>
      <c r="N49" s="25"/>
      <c r="O49" s="25">
        <v>1</v>
      </c>
      <c r="P49" s="25"/>
      <c r="Q49" s="25">
        <f>$Q$48*O49</f>
        <v>200</v>
      </c>
      <c r="R49" s="25">
        <f>$R$48*O49</f>
        <v>200</v>
      </c>
      <c r="S49" s="25">
        <f>$S$48*O49</f>
        <v>200</v>
      </c>
      <c r="T49" s="25">
        <f>$T$48*O49</f>
        <v>180</v>
      </c>
      <c r="U49" s="25">
        <f>$U$48*O49</f>
        <v>180</v>
      </c>
      <c r="V49" s="25">
        <f>$V$48*O49</f>
        <v>960</v>
      </c>
      <c r="W49" s="31"/>
      <c r="X49" s="31"/>
      <c r="Y49" s="32"/>
      <c r="Z49" s="33"/>
      <c r="AA49" s="33"/>
      <c r="AB49" s="33"/>
      <c r="AC49" s="33"/>
      <c r="AD49" s="33"/>
      <c r="AE49" s="34"/>
      <c r="AF49" s="35"/>
      <c r="AG49" s="36"/>
      <c r="AH49" s="37"/>
      <c r="AI49" s="33"/>
      <c r="AJ49" s="38"/>
    </row>
    <row r="50" spans="1:36" hidden="1" x14ac:dyDescent="0.25">
      <c r="A50" s="51">
        <v>50</v>
      </c>
      <c r="B50" s="26"/>
      <c r="C50" s="26"/>
      <c r="D50" s="26"/>
      <c r="E50" s="26"/>
      <c r="F50" s="28" t="s">
        <v>172</v>
      </c>
      <c r="G50" s="29">
        <v>2</v>
      </c>
      <c r="H50" s="29"/>
      <c r="I50" s="29"/>
      <c r="J50" s="29"/>
      <c r="K50" s="29"/>
      <c r="L50" s="25" t="s">
        <v>323</v>
      </c>
      <c r="M50" s="25" t="s">
        <v>132</v>
      </c>
      <c r="N50" s="25"/>
      <c r="O50" s="25">
        <v>1</v>
      </c>
      <c r="P50" s="25"/>
      <c r="Q50" s="25">
        <f t="shared" ref="Q50:Q54" si="24">$Q$48*O50</f>
        <v>200</v>
      </c>
      <c r="R50" s="25">
        <f t="shared" ref="R50:R54" si="25">$R$48*O50</f>
        <v>200</v>
      </c>
      <c r="S50" s="25">
        <f t="shared" ref="S50:S54" si="26">$S$48*O50</f>
        <v>200</v>
      </c>
      <c r="T50" s="25">
        <f t="shared" ref="T50:T54" si="27">$T$48*O50</f>
        <v>180</v>
      </c>
      <c r="U50" s="25">
        <f t="shared" ref="U50:U54" si="28">$U$48*O50</f>
        <v>180</v>
      </c>
      <c r="V50" s="25">
        <f t="shared" ref="V50:V54" si="29">$V$48*O50</f>
        <v>960</v>
      </c>
      <c r="W50" s="31"/>
      <c r="X50" s="31"/>
      <c r="Y50" s="32"/>
      <c r="Z50" s="33"/>
      <c r="AA50" s="33"/>
      <c r="AB50" s="33"/>
      <c r="AC50" s="33"/>
      <c r="AD50" s="33"/>
      <c r="AE50" s="34"/>
      <c r="AF50" s="35"/>
      <c r="AG50" s="36"/>
      <c r="AH50" s="37"/>
      <c r="AI50" s="33"/>
      <c r="AJ50" s="38"/>
    </row>
    <row r="51" spans="1:36" hidden="1" x14ac:dyDescent="0.25">
      <c r="A51" s="51">
        <v>51</v>
      </c>
      <c r="B51" s="26"/>
      <c r="C51" s="26"/>
      <c r="D51" s="26"/>
      <c r="E51" s="26"/>
      <c r="F51" s="28" t="s">
        <v>2</v>
      </c>
      <c r="G51" s="29">
        <v>3</v>
      </c>
      <c r="H51" s="29"/>
      <c r="I51" s="29"/>
      <c r="J51" s="29"/>
      <c r="K51" s="29"/>
      <c r="L51" s="25" t="s">
        <v>324</v>
      </c>
      <c r="M51" s="25"/>
      <c r="N51" s="25"/>
      <c r="O51" s="25">
        <v>1</v>
      </c>
      <c r="P51" s="25"/>
      <c r="Q51" s="25">
        <f t="shared" si="24"/>
        <v>200</v>
      </c>
      <c r="R51" s="25">
        <f t="shared" si="25"/>
        <v>200</v>
      </c>
      <c r="S51" s="25">
        <f t="shared" si="26"/>
        <v>200</v>
      </c>
      <c r="T51" s="25">
        <f t="shared" si="27"/>
        <v>180</v>
      </c>
      <c r="U51" s="25">
        <f t="shared" si="28"/>
        <v>180</v>
      </c>
      <c r="V51" s="25">
        <f t="shared" si="29"/>
        <v>960</v>
      </c>
      <c r="W51" s="31"/>
      <c r="X51" s="31"/>
      <c r="Y51" s="32"/>
      <c r="Z51" s="33"/>
      <c r="AA51" s="33"/>
      <c r="AB51" s="33"/>
      <c r="AC51" s="33"/>
      <c r="AD51" s="33"/>
      <c r="AE51" s="34"/>
      <c r="AF51" s="35"/>
      <c r="AG51" s="36"/>
      <c r="AH51" s="37"/>
      <c r="AI51" s="33"/>
      <c r="AJ51" s="38"/>
    </row>
    <row r="52" spans="1:36" hidden="1" x14ac:dyDescent="0.25">
      <c r="A52" s="51">
        <v>52</v>
      </c>
      <c r="B52" s="26"/>
      <c r="C52" s="26"/>
      <c r="D52" s="26"/>
      <c r="E52" s="26"/>
      <c r="F52" s="28" t="s">
        <v>295</v>
      </c>
      <c r="G52" s="29"/>
      <c r="H52" s="29"/>
      <c r="I52" s="29"/>
      <c r="J52" s="29"/>
      <c r="K52" s="29"/>
      <c r="L52" s="25" t="s">
        <v>325</v>
      </c>
      <c r="M52" s="25"/>
      <c r="N52" s="25"/>
      <c r="O52" s="25"/>
      <c r="P52" s="25"/>
      <c r="Q52" s="25">
        <f t="shared" si="24"/>
        <v>0</v>
      </c>
      <c r="R52" s="25">
        <f t="shared" si="25"/>
        <v>0</v>
      </c>
      <c r="S52" s="25">
        <f t="shared" si="26"/>
        <v>0</v>
      </c>
      <c r="T52" s="25">
        <f t="shared" si="27"/>
        <v>0</v>
      </c>
      <c r="U52" s="25">
        <f t="shared" si="28"/>
        <v>0</v>
      </c>
      <c r="V52" s="25">
        <f t="shared" si="29"/>
        <v>0</v>
      </c>
      <c r="W52" s="31"/>
      <c r="X52" s="31"/>
      <c r="Y52" s="32"/>
      <c r="Z52" s="33"/>
      <c r="AA52" s="33"/>
      <c r="AB52" s="33"/>
      <c r="AC52" s="33"/>
      <c r="AD52" s="33"/>
      <c r="AE52" s="34"/>
      <c r="AF52" s="35"/>
      <c r="AG52" s="36"/>
      <c r="AH52" s="37"/>
      <c r="AI52" s="33"/>
      <c r="AJ52" s="38"/>
    </row>
    <row r="53" spans="1:36" hidden="1" x14ac:dyDescent="0.25">
      <c r="A53" s="51">
        <v>53</v>
      </c>
      <c r="B53" s="26"/>
      <c r="C53" s="26"/>
      <c r="D53" s="26"/>
      <c r="E53" s="26"/>
      <c r="F53" s="28" t="s">
        <v>295</v>
      </c>
      <c r="G53" s="29"/>
      <c r="H53" s="29"/>
      <c r="I53" s="29"/>
      <c r="J53" s="29"/>
      <c r="K53" s="29"/>
      <c r="L53" s="25" t="s">
        <v>326</v>
      </c>
      <c r="M53" s="25"/>
      <c r="N53" s="25"/>
      <c r="O53" s="25"/>
      <c r="P53" s="25"/>
      <c r="Q53" s="25">
        <f t="shared" si="24"/>
        <v>0</v>
      </c>
      <c r="R53" s="25">
        <f t="shared" si="25"/>
        <v>0</v>
      </c>
      <c r="S53" s="25">
        <f t="shared" si="26"/>
        <v>0</v>
      </c>
      <c r="T53" s="25">
        <f t="shared" si="27"/>
        <v>0</v>
      </c>
      <c r="U53" s="25">
        <f t="shared" si="28"/>
        <v>0</v>
      </c>
      <c r="V53" s="25">
        <f t="shared" si="29"/>
        <v>0</v>
      </c>
      <c r="W53" s="31"/>
      <c r="X53" s="31"/>
      <c r="Y53" s="32"/>
      <c r="Z53" s="33"/>
      <c r="AA53" s="33"/>
      <c r="AB53" s="33"/>
      <c r="AC53" s="33"/>
      <c r="AD53" s="33"/>
      <c r="AE53" s="34"/>
      <c r="AF53" s="35"/>
      <c r="AG53" s="36"/>
      <c r="AH53" s="37"/>
      <c r="AI53" s="33"/>
      <c r="AJ53" s="38"/>
    </row>
    <row r="54" spans="1:36" hidden="1" x14ac:dyDescent="0.25">
      <c r="A54" s="51">
        <v>54</v>
      </c>
      <c r="B54" s="26"/>
      <c r="C54" s="26"/>
      <c r="D54" s="26"/>
      <c r="E54" s="26"/>
      <c r="F54" s="28" t="s">
        <v>295</v>
      </c>
      <c r="G54" s="29"/>
      <c r="H54" s="29"/>
      <c r="I54" s="29"/>
      <c r="J54" s="29"/>
      <c r="K54" s="29"/>
      <c r="L54" s="25" t="s">
        <v>327</v>
      </c>
      <c r="M54" s="25"/>
      <c r="N54" s="25"/>
      <c r="O54" s="25"/>
      <c r="P54" s="25"/>
      <c r="Q54" s="25">
        <f t="shared" si="24"/>
        <v>0</v>
      </c>
      <c r="R54" s="25">
        <f t="shared" si="25"/>
        <v>0</v>
      </c>
      <c r="S54" s="25">
        <f t="shared" si="26"/>
        <v>0</v>
      </c>
      <c r="T54" s="25">
        <f t="shared" si="27"/>
        <v>0</v>
      </c>
      <c r="U54" s="25">
        <f t="shared" si="28"/>
        <v>0</v>
      </c>
      <c r="V54" s="25">
        <f t="shared" si="29"/>
        <v>0</v>
      </c>
      <c r="W54" s="31"/>
      <c r="X54" s="31"/>
      <c r="Y54" s="32"/>
      <c r="Z54" s="33"/>
      <c r="AA54" s="33"/>
      <c r="AB54" s="33"/>
      <c r="AC54" s="33"/>
      <c r="AD54" s="33"/>
      <c r="AE54" s="34"/>
      <c r="AF54" s="35"/>
      <c r="AG54" s="36"/>
      <c r="AH54" s="37"/>
      <c r="AI54" s="33"/>
      <c r="AJ54" s="38"/>
    </row>
    <row r="55" spans="1:36" hidden="1" x14ac:dyDescent="0.25">
      <c r="A55" s="43">
        <v>55</v>
      </c>
      <c r="B55" s="58">
        <v>56</v>
      </c>
      <c r="C55" s="58"/>
      <c r="D55" s="58"/>
      <c r="E55" s="58"/>
      <c r="F55" s="59" t="s">
        <v>170</v>
      </c>
      <c r="G55" s="46"/>
      <c r="H55" s="46"/>
      <c r="I55" s="46"/>
      <c r="J55" s="46"/>
      <c r="K55" s="46"/>
      <c r="L55" s="61" t="str">
        <f>HYPERLINK("\\mycloudpr2100\ПДО учет\ММЗ\Проект 12560\12560.285.00 СБ Чека (А3).pdf","12560.285.00СБ")</f>
        <v>12560.285.00СБ</v>
      </c>
      <c r="M55" s="61" t="str">
        <f>HYPERLINK("\\mycloudpr2100\ПДО учет\ММЗ\Проект 12560\12560.285.00 Чека (А4).pdf","Чека")</f>
        <v>Чека</v>
      </c>
      <c r="N55" s="30"/>
      <c r="O55" s="60"/>
      <c r="P55" s="60"/>
      <c r="Q55" s="60">
        <v>200</v>
      </c>
      <c r="R55" s="60">
        <v>200</v>
      </c>
      <c r="S55" s="60">
        <v>200</v>
      </c>
      <c r="T55" s="60">
        <v>180</v>
      </c>
      <c r="U55" s="60">
        <v>180</v>
      </c>
      <c r="V55" s="60">
        <f>Q55+R55+S55+T55+U55</f>
        <v>960</v>
      </c>
      <c r="W55" s="62"/>
      <c r="X55" s="62"/>
      <c r="Y55" s="48"/>
      <c r="Z55" s="63"/>
      <c r="AA55" s="63"/>
      <c r="AB55" s="63"/>
      <c r="AC55" s="63"/>
      <c r="AD55" s="63"/>
      <c r="AE55" s="64"/>
      <c r="AF55" s="65"/>
      <c r="AG55" s="66"/>
      <c r="AH55" s="67"/>
      <c r="AI55" s="63"/>
      <c r="AJ55" s="60"/>
    </row>
    <row r="56" spans="1:36" hidden="1" x14ac:dyDescent="0.25">
      <c r="A56" s="51">
        <v>56</v>
      </c>
      <c r="B56" s="26"/>
      <c r="C56" s="26"/>
      <c r="D56" s="26"/>
      <c r="E56" s="26"/>
      <c r="F56" s="28" t="s">
        <v>172</v>
      </c>
      <c r="G56" s="29">
        <v>1</v>
      </c>
      <c r="H56" s="29"/>
      <c r="I56" s="29"/>
      <c r="J56" s="29"/>
      <c r="K56" s="29"/>
      <c r="L56" s="25" t="s">
        <v>328</v>
      </c>
      <c r="M56" s="25" t="s">
        <v>131</v>
      </c>
      <c r="N56" s="25"/>
      <c r="O56" s="25">
        <v>1</v>
      </c>
      <c r="P56" s="25"/>
      <c r="Q56" s="25">
        <f>$Q$55*O56</f>
        <v>200</v>
      </c>
      <c r="R56" s="25">
        <f>$R$55*O56</f>
        <v>200</v>
      </c>
      <c r="S56" s="25">
        <f>$S$55*O56</f>
        <v>200</v>
      </c>
      <c r="T56" s="25">
        <f>$T$55*O56</f>
        <v>180</v>
      </c>
      <c r="U56" s="25">
        <f>$U$55*O56</f>
        <v>180</v>
      </c>
      <c r="V56" s="25">
        <f>$V$55*O56</f>
        <v>960</v>
      </c>
      <c r="W56" s="31"/>
      <c r="X56" s="31"/>
      <c r="Y56" s="32"/>
      <c r="Z56" s="33"/>
      <c r="AA56" s="33"/>
      <c r="AB56" s="33"/>
      <c r="AC56" s="33"/>
      <c r="AD56" s="33"/>
      <c r="AE56" s="34"/>
      <c r="AF56" s="35"/>
      <c r="AG56" s="36"/>
      <c r="AH56" s="37"/>
      <c r="AI56" s="33"/>
      <c r="AJ56" s="38"/>
    </row>
    <row r="57" spans="1:36" hidden="1" x14ac:dyDescent="0.25">
      <c r="A57" s="51">
        <v>57</v>
      </c>
      <c r="B57" s="26"/>
      <c r="C57" s="26"/>
      <c r="D57" s="26"/>
      <c r="E57" s="26"/>
      <c r="F57" s="28" t="s">
        <v>172</v>
      </c>
      <c r="G57" s="29">
        <v>2</v>
      </c>
      <c r="H57" s="29"/>
      <c r="I57" s="29"/>
      <c r="J57" s="29"/>
      <c r="K57" s="29"/>
      <c r="L57" s="41" t="str">
        <f>HYPERLINK("\\mycloudpr2100\ПДО учет\ММЗ\Проект 12560\12560.285.01 Чека (А3).pdf","12560.285.01")</f>
        <v>12560.285.01</v>
      </c>
      <c r="M57" s="25" t="s">
        <v>134</v>
      </c>
      <c r="N57" s="25"/>
      <c r="O57" s="25">
        <v>1</v>
      </c>
      <c r="P57" s="25"/>
      <c r="Q57" s="25">
        <f t="shared" ref="Q57:Q60" si="30">$Q$55*O57</f>
        <v>200</v>
      </c>
      <c r="R57" s="25">
        <f t="shared" ref="R57:R60" si="31">$R$55*O57</f>
        <v>200</v>
      </c>
      <c r="S57" s="25">
        <f t="shared" ref="S57:S60" si="32">$S$55*O57</f>
        <v>200</v>
      </c>
      <c r="T57" s="25">
        <f t="shared" ref="T57:T60" si="33">$T$55*O57</f>
        <v>180</v>
      </c>
      <c r="U57" s="25">
        <f t="shared" ref="U57:U60" si="34">$U$55*O57</f>
        <v>180</v>
      </c>
      <c r="V57" s="25">
        <f t="shared" ref="V57:V60" si="35">$V$55*O57</f>
        <v>960</v>
      </c>
      <c r="W57" s="31"/>
      <c r="X57" s="31"/>
      <c r="Y57" s="32"/>
      <c r="Z57" s="33"/>
      <c r="AA57" s="33"/>
      <c r="AB57" s="33"/>
      <c r="AC57" s="33"/>
      <c r="AD57" s="33"/>
      <c r="AE57" s="34"/>
      <c r="AF57" s="35"/>
      <c r="AG57" s="36"/>
      <c r="AH57" s="37"/>
      <c r="AI57" s="33"/>
      <c r="AJ57" s="38"/>
    </row>
    <row r="58" spans="1:36" hidden="1" x14ac:dyDescent="0.25">
      <c r="A58" s="51">
        <v>58</v>
      </c>
      <c r="B58" s="26"/>
      <c r="C58" s="26"/>
      <c r="D58" s="26"/>
      <c r="E58" s="26"/>
      <c r="F58" s="28" t="s">
        <v>295</v>
      </c>
      <c r="G58" s="29"/>
      <c r="H58" s="29"/>
      <c r="I58" s="29"/>
      <c r="J58" s="29"/>
      <c r="K58" s="29"/>
      <c r="L58" s="25" t="s">
        <v>329</v>
      </c>
      <c r="M58" s="25"/>
      <c r="N58" s="25"/>
      <c r="O58" s="25"/>
      <c r="P58" s="25"/>
      <c r="Q58" s="25">
        <f t="shared" si="30"/>
        <v>0</v>
      </c>
      <c r="R58" s="25">
        <f t="shared" si="31"/>
        <v>0</v>
      </c>
      <c r="S58" s="25">
        <f t="shared" si="32"/>
        <v>0</v>
      </c>
      <c r="T58" s="25">
        <f t="shared" si="33"/>
        <v>0</v>
      </c>
      <c r="U58" s="25">
        <f t="shared" si="34"/>
        <v>0</v>
      </c>
      <c r="V58" s="25">
        <f t="shared" si="35"/>
        <v>0</v>
      </c>
      <c r="W58" s="31"/>
      <c r="X58" s="31"/>
      <c r="Y58" s="32"/>
      <c r="Z58" s="33"/>
      <c r="AA58" s="33"/>
      <c r="AB58" s="33"/>
      <c r="AC58" s="33"/>
      <c r="AD58" s="33"/>
      <c r="AE58" s="34"/>
      <c r="AF58" s="35"/>
      <c r="AG58" s="36"/>
      <c r="AH58" s="37"/>
      <c r="AI58" s="33"/>
      <c r="AJ58" s="38"/>
    </row>
    <row r="59" spans="1:36" hidden="1" x14ac:dyDescent="0.25">
      <c r="A59" s="51">
        <v>59</v>
      </c>
      <c r="B59" s="26"/>
      <c r="C59" s="26"/>
      <c r="D59" s="26"/>
      <c r="E59" s="26"/>
      <c r="F59" s="28" t="s">
        <v>295</v>
      </c>
      <c r="G59" s="29"/>
      <c r="H59" s="29"/>
      <c r="I59" s="29"/>
      <c r="J59" s="29"/>
      <c r="K59" s="29"/>
      <c r="L59" s="25" t="s">
        <v>326</v>
      </c>
      <c r="M59" s="25"/>
      <c r="N59" s="25"/>
      <c r="O59" s="25"/>
      <c r="P59" s="25"/>
      <c r="Q59" s="25">
        <f t="shared" si="30"/>
        <v>0</v>
      </c>
      <c r="R59" s="25">
        <f t="shared" si="31"/>
        <v>0</v>
      </c>
      <c r="S59" s="25">
        <f t="shared" si="32"/>
        <v>0</v>
      </c>
      <c r="T59" s="25">
        <f t="shared" si="33"/>
        <v>0</v>
      </c>
      <c r="U59" s="25">
        <f t="shared" si="34"/>
        <v>0</v>
      </c>
      <c r="V59" s="25">
        <f t="shared" si="35"/>
        <v>0</v>
      </c>
      <c r="W59" s="31"/>
      <c r="X59" s="31"/>
      <c r="Y59" s="32"/>
      <c r="Z59" s="33"/>
      <c r="AA59" s="33"/>
      <c r="AB59" s="33"/>
      <c r="AC59" s="33"/>
      <c r="AD59" s="33"/>
      <c r="AE59" s="34"/>
      <c r="AF59" s="35"/>
      <c r="AG59" s="36"/>
      <c r="AH59" s="37"/>
      <c r="AI59" s="33"/>
      <c r="AJ59" s="38"/>
    </row>
    <row r="60" spans="1:36" hidden="1" x14ac:dyDescent="0.25">
      <c r="A60" s="51">
        <v>60</v>
      </c>
      <c r="B60" s="26"/>
      <c r="C60" s="26"/>
      <c r="D60" s="26"/>
      <c r="E60" s="26"/>
      <c r="F60" s="28" t="s">
        <v>295</v>
      </c>
      <c r="G60" s="29"/>
      <c r="H60" s="29"/>
      <c r="I60" s="29"/>
      <c r="J60" s="29"/>
      <c r="K60" s="29"/>
      <c r="L60" s="25" t="s">
        <v>327</v>
      </c>
      <c r="M60" s="25"/>
      <c r="N60" s="25"/>
      <c r="O60" s="25"/>
      <c r="P60" s="25"/>
      <c r="Q60" s="25">
        <f t="shared" si="30"/>
        <v>0</v>
      </c>
      <c r="R60" s="25">
        <f t="shared" si="31"/>
        <v>0</v>
      </c>
      <c r="S60" s="25">
        <f t="shared" si="32"/>
        <v>0</v>
      </c>
      <c r="T60" s="25">
        <f t="shared" si="33"/>
        <v>0</v>
      </c>
      <c r="U60" s="25">
        <f t="shared" si="34"/>
        <v>0</v>
      </c>
      <c r="V60" s="25">
        <f t="shared" si="35"/>
        <v>0</v>
      </c>
      <c r="W60" s="31"/>
      <c r="X60" s="31"/>
      <c r="Y60" s="32"/>
      <c r="Z60" s="33"/>
      <c r="AA60" s="33"/>
      <c r="AB60" s="33"/>
      <c r="AC60" s="33"/>
      <c r="AD60" s="33"/>
      <c r="AE60" s="34"/>
      <c r="AF60" s="35"/>
      <c r="AG60" s="36"/>
      <c r="AH60" s="37"/>
      <c r="AI60" s="33"/>
      <c r="AJ60" s="38"/>
    </row>
    <row r="61" spans="1:36" hidden="1" x14ac:dyDescent="0.25">
      <c r="A61" s="43">
        <v>61</v>
      </c>
      <c r="B61" s="58">
        <v>57</v>
      </c>
      <c r="C61" s="58"/>
      <c r="D61" s="58"/>
      <c r="E61" s="58"/>
      <c r="F61" s="59" t="s">
        <v>170</v>
      </c>
      <c r="G61" s="46"/>
      <c r="H61" s="46"/>
      <c r="I61" s="46"/>
      <c r="J61" s="46"/>
      <c r="K61" s="46"/>
      <c r="L61" s="61" t="str">
        <f>HYPERLINK("\\mycloudpr2100\ПДО учет\ММЗ\Проект 12560\12560.286.00 СБ Фиксатор крыла (А2).pdf","12560.286.00СБ")</f>
        <v>12560.286.00СБ</v>
      </c>
      <c r="M61" s="61" t="str">
        <f>HYPERLINK("\\mycloudpr2100\ПДО учет\ММЗ\Проект 12560\12560.286.00-Фиксатор крыла.pdf","Фиксатор крыла")</f>
        <v>Фиксатор крыла</v>
      </c>
      <c r="N61" s="30"/>
      <c r="O61" s="60"/>
      <c r="P61" s="60"/>
      <c r="Q61" s="60">
        <v>400</v>
      </c>
      <c r="R61" s="60">
        <v>400</v>
      </c>
      <c r="S61" s="60">
        <v>400</v>
      </c>
      <c r="T61" s="60">
        <v>360</v>
      </c>
      <c r="U61" s="60">
        <v>360</v>
      </c>
      <c r="V61" s="60">
        <f>Q61+R61+S61+T61+U61</f>
        <v>1920</v>
      </c>
      <c r="W61" s="62"/>
      <c r="X61" s="62"/>
      <c r="Y61" s="48"/>
      <c r="Z61" s="63"/>
      <c r="AA61" s="63"/>
      <c r="AB61" s="63"/>
      <c r="AC61" s="63"/>
      <c r="AD61" s="63"/>
      <c r="AE61" s="64"/>
      <c r="AF61" s="65"/>
      <c r="AG61" s="66"/>
      <c r="AH61" s="67"/>
      <c r="AI61" s="63"/>
      <c r="AJ61" s="60"/>
    </row>
    <row r="62" spans="1:36" hidden="1" x14ac:dyDescent="0.25">
      <c r="A62" s="51">
        <v>62</v>
      </c>
      <c r="B62" s="26"/>
      <c r="C62" s="26" t="s">
        <v>333</v>
      </c>
      <c r="D62" s="26"/>
      <c r="E62" s="26"/>
      <c r="F62" s="28" t="s">
        <v>172</v>
      </c>
      <c r="G62" s="29"/>
      <c r="H62" s="29"/>
      <c r="I62" s="29"/>
      <c r="J62" s="29"/>
      <c r="K62" s="29"/>
      <c r="L62" s="41" t="str">
        <f>HYPERLINK("\\mycloudpr2100\ПДО учет\ММЗ\Проект 12560\12560.286.01 Кронштейн (А4х3).pdf","12560.286.01")</f>
        <v>12560.286.01</v>
      </c>
      <c r="M62" s="25" t="s">
        <v>32</v>
      </c>
      <c r="N62" s="25"/>
      <c r="O62" s="25">
        <v>1</v>
      </c>
      <c r="P62" s="25"/>
      <c r="Q62" s="25">
        <f>$Q$61*O62</f>
        <v>400</v>
      </c>
      <c r="R62" s="25">
        <f>$R$61*O62</f>
        <v>400</v>
      </c>
      <c r="S62" s="25">
        <f>$S$61*O62</f>
        <v>400</v>
      </c>
      <c r="T62" s="25">
        <f>$T$61*O62</f>
        <v>360</v>
      </c>
      <c r="U62" s="25">
        <f>$U$61*O62</f>
        <v>360</v>
      </c>
      <c r="V62" s="25">
        <f>$V$61*O62</f>
        <v>1920</v>
      </c>
      <c r="W62" s="31"/>
      <c r="X62" s="31"/>
      <c r="Y62" s="32"/>
      <c r="Z62" s="33"/>
      <c r="AA62" s="33"/>
      <c r="AB62" s="33"/>
      <c r="AC62" s="33"/>
      <c r="AD62" s="33"/>
      <c r="AE62" s="34"/>
      <c r="AF62" s="35"/>
      <c r="AG62" s="36"/>
      <c r="AH62" s="37"/>
      <c r="AI62" s="33"/>
      <c r="AJ62" s="38"/>
    </row>
    <row r="63" spans="1:36" hidden="1" x14ac:dyDescent="0.25">
      <c r="A63" s="51">
        <v>63</v>
      </c>
      <c r="B63" s="26"/>
      <c r="C63" s="26" t="s">
        <v>333</v>
      </c>
      <c r="D63" s="26"/>
      <c r="E63" s="26"/>
      <c r="F63" s="28" t="s">
        <v>172</v>
      </c>
      <c r="G63" s="29"/>
      <c r="H63" s="29"/>
      <c r="I63" s="29"/>
      <c r="J63" s="29"/>
      <c r="K63" s="29"/>
      <c r="L63" s="41" t="str">
        <f>HYPERLINK("\\mycloudpr2100\ПДО учет\ММЗ\Проект 12560\12560.286.02 Упор (А2).pdf","12560.286.02")</f>
        <v>12560.286.02</v>
      </c>
      <c r="M63" s="25" t="s">
        <v>118</v>
      </c>
      <c r="N63" s="25"/>
      <c r="O63" s="25">
        <v>1</v>
      </c>
      <c r="P63" s="25"/>
      <c r="Q63" s="25">
        <f t="shared" ref="Q63:Q68" si="36">$Q$61*O63</f>
        <v>400</v>
      </c>
      <c r="R63" s="25">
        <f t="shared" ref="R63:R68" si="37">$R$61*O63</f>
        <v>400</v>
      </c>
      <c r="S63" s="25">
        <f t="shared" ref="S63:S68" si="38">$S$61*O63</f>
        <v>400</v>
      </c>
      <c r="T63" s="25">
        <f t="shared" ref="T63:T68" si="39">$T$61*O63</f>
        <v>360</v>
      </c>
      <c r="U63" s="25">
        <f t="shared" ref="U63:U68" si="40">$U$61*O63</f>
        <v>360</v>
      </c>
      <c r="V63" s="25">
        <f t="shared" ref="V63:V68" si="41">$V$61*O63</f>
        <v>1920</v>
      </c>
      <c r="W63" s="31"/>
      <c r="X63" s="31"/>
      <c r="Y63" s="32"/>
      <c r="Z63" s="33"/>
      <c r="AA63" s="33"/>
      <c r="AB63" s="33"/>
      <c r="AC63" s="33"/>
      <c r="AD63" s="33"/>
      <c r="AE63" s="34"/>
      <c r="AF63" s="35"/>
      <c r="AG63" s="36"/>
      <c r="AH63" s="37"/>
      <c r="AI63" s="33"/>
      <c r="AJ63" s="38"/>
    </row>
    <row r="64" spans="1:36" x14ac:dyDescent="0.25">
      <c r="A64" s="51">
        <v>64</v>
      </c>
      <c r="B64" s="26"/>
      <c r="C64" s="26"/>
      <c r="D64" s="26" t="s">
        <v>331</v>
      </c>
      <c r="E64" s="26"/>
      <c r="F64" s="28" t="s">
        <v>172</v>
      </c>
      <c r="G64" s="29"/>
      <c r="H64" s="29"/>
      <c r="I64" s="29"/>
      <c r="J64" s="29"/>
      <c r="K64" s="29"/>
      <c r="L64" s="41" t="str">
        <f>HYPERLINK("\\mycloudpr2100\ПДО учет\ММЗ\Проект 12560\12560.286.03 Пружина (А2).pdf","12560.286.03")</f>
        <v>12560.286.03</v>
      </c>
      <c r="M64" s="25" t="s">
        <v>121</v>
      </c>
      <c r="N64" s="25"/>
      <c r="O64" s="25">
        <v>1</v>
      </c>
      <c r="P64" s="25"/>
      <c r="Q64" s="25">
        <f t="shared" si="36"/>
        <v>400</v>
      </c>
      <c r="R64" s="25">
        <f t="shared" si="37"/>
        <v>400</v>
      </c>
      <c r="S64" s="25">
        <f t="shared" si="38"/>
        <v>400</v>
      </c>
      <c r="T64" s="25">
        <f t="shared" si="39"/>
        <v>360</v>
      </c>
      <c r="U64" s="25">
        <f t="shared" si="40"/>
        <v>360</v>
      </c>
      <c r="V64" s="25">
        <f t="shared" si="41"/>
        <v>1920</v>
      </c>
      <c r="W64" s="31"/>
      <c r="X64" s="31"/>
      <c r="Y64" s="32"/>
      <c r="Z64" s="33"/>
      <c r="AA64" s="33"/>
      <c r="AB64" s="33"/>
      <c r="AC64" s="33"/>
      <c r="AD64" s="33"/>
      <c r="AE64" s="34"/>
      <c r="AF64" s="35"/>
      <c r="AG64" s="36"/>
      <c r="AH64" s="37"/>
      <c r="AI64" s="33"/>
      <c r="AJ64" s="38"/>
    </row>
    <row r="65" spans="1:36" x14ac:dyDescent="0.25">
      <c r="A65" s="51">
        <v>65</v>
      </c>
      <c r="B65" s="26"/>
      <c r="C65" s="26"/>
      <c r="D65" s="26" t="s">
        <v>331</v>
      </c>
      <c r="E65" s="26"/>
      <c r="F65" s="28" t="s">
        <v>172</v>
      </c>
      <c r="G65" s="29"/>
      <c r="H65" s="29"/>
      <c r="I65" s="29"/>
      <c r="J65" s="29"/>
      <c r="K65" s="29"/>
      <c r="L65" s="41" t="str">
        <f>HYPERLINK("\\mycloudpr2100\ПДО учет\ММЗ\Проект 12560\12560.286.04 Втулка (А3).pdf","12560.286.04")</f>
        <v>12560.286.04</v>
      </c>
      <c r="M65" s="25" t="s">
        <v>83</v>
      </c>
      <c r="N65" s="25"/>
      <c r="O65" s="25">
        <v>2</v>
      </c>
      <c r="P65" s="25"/>
      <c r="Q65" s="25">
        <f t="shared" si="36"/>
        <v>800</v>
      </c>
      <c r="R65" s="25">
        <f t="shared" si="37"/>
        <v>800</v>
      </c>
      <c r="S65" s="25">
        <f t="shared" si="38"/>
        <v>800</v>
      </c>
      <c r="T65" s="25">
        <f t="shared" si="39"/>
        <v>720</v>
      </c>
      <c r="U65" s="25">
        <f t="shared" si="40"/>
        <v>720</v>
      </c>
      <c r="V65" s="25">
        <f t="shared" si="41"/>
        <v>3840</v>
      </c>
      <c r="W65" s="31"/>
      <c r="X65" s="31"/>
      <c r="Y65" s="32"/>
      <c r="Z65" s="33"/>
      <c r="AA65" s="33"/>
      <c r="AB65" s="33"/>
      <c r="AC65" s="33"/>
      <c r="AD65" s="33"/>
      <c r="AE65" s="34"/>
      <c r="AF65" s="35"/>
      <c r="AG65" s="36"/>
      <c r="AH65" s="37"/>
      <c r="AI65" s="33"/>
      <c r="AJ65" s="38"/>
    </row>
    <row r="66" spans="1:36" x14ac:dyDescent="0.25">
      <c r="A66" s="51">
        <v>66</v>
      </c>
      <c r="B66" s="26"/>
      <c r="C66" s="26"/>
      <c r="D66" s="26" t="s">
        <v>331</v>
      </c>
      <c r="E66" s="26"/>
      <c r="F66" s="28" t="s">
        <v>172</v>
      </c>
      <c r="G66" s="29"/>
      <c r="H66" s="29"/>
      <c r="I66" s="29"/>
      <c r="J66" s="29"/>
      <c r="K66" s="29"/>
      <c r="L66" s="41" t="str">
        <f>HYPERLINK("\\mycloudpr2100\ПДО учет\ММЗ\Проект 12560\12560.286.05 Пружина (А2).pdf","12560.286.05")</f>
        <v>12560.286.05</v>
      </c>
      <c r="M66" s="25" t="s">
        <v>121</v>
      </c>
      <c r="N66" s="25"/>
      <c r="O66" s="25">
        <v>1</v>
      </c>
      <c r="P66" s="25"/>
      <c r="Q66" s="25">
        <f t="shared" si="36"/>
        <v>400</v>
      </c>
      <c r="R66" s="25">
        <f t="shared" si="37"/>
        <v>400</v>
      </c>
      <c r="S66" s="25">
        <f t="shared" si="38"/>
        <v>400</v>
      </c>
      <c r="T66" s="25">
        <f t="shared" si="39"/>
        <v>360</v>
      </c>
      <c r="U66" s="25">
        <f t="shared" si="40"/>
        <v>360</v>
      </c>
      <c r="V66" s="25">
        <f t="shared" si="41"/>
        <v>1920</v>
      </c>
      <c r="W66" s="31"/>
      <c r="X66" s="31"/>
      <c r="Y66" s="32"/>
      <c r="Z66" s="33"/>
      <c r="AA66" s="33"/>
      <c r="AB66" s="33"/>
      <c r="AC66" s="33"/>
      <c r="AD66" s="33"/>
      <c r="AE66" s="34"/>
      <c r="AF66" s="35"/>
      <c r="AG66" s="36"/>
      <c r="AH66" s="37"/>
      <c r="AI66" s="33"/>
      <c r="AJ66" s="38"/>
    </row>
    <row r="67" spans="1:36" hidden="1" x14ac:dyDescent="0.25">
      <c r="A67" s="51">
        <v>67</v>
      </c>
      <c r="B67" s="26"/>
      <c r="C67" s="26"/>
      <c r="D67" s="26"/>
      <c r="E67" s="26"/>
      <c r="F67" s="28" t="s">
        <v>172</v>
      </c>
      <c r="G67" s="29"/>
      <c r="H67" s="29"/>
      <c r="I67" s="29"/>
      <c r="J67" s="29"/>
      <c r="K67" s="29"/>
      <c r="L67" s="41" t="str">
        <f>HYPERLINK("\\mycloudpr2100\ПДО учет\ММЗ\Проект 12560\12560.286.06 Болт (А3).pdf","12560.286.06")</f>
        <v>12560.286.06</v>
      </c>
      <c r="M67" s="25" t="s">
        <v>109</v>
      </c>
      <c r="N67" s="25"/>
      <c r="O67" s="25">
        <v>1</v>
      </c>
      <c r="P67" s="25"/>
      <c r="Q67" s="25">
        <f t="shared" si="36"/>
        <v>400</v>
      </c>
      <c r="R67" s="25">
        <f t="shared" si="37"/>
        <v>400</v>
      </c>
      <c r="S67" s="25">
        <f t="shared" si="38"/>
        <v>400</v>
      </c>
      <c r="T67" s="25">
        <f t="shared" si="39"/>
        <v>360</v>
      </c>
      <c r="U67" s="25">
        <f t="shared" si="40"/>
        <v>360</v>
      </c>
      <c r="V67" s="25">
        <f t="shared" si="41"/>
        <v>1920</v>
      </c>
      <c r="W67" s="31"/>
      <c r="X67" s="31"/>
      <c r="Y67" s="32"/>
      <c r="Z67" s="33"/>
      <c r="AA67" s="33"/>
      <c r="AB67" s="33"/>
      <c r="AC67" s="33"/>
      <c r="AD67" s="33"/>
      <c r="AE67" s="34"/>
      <c r="AF67" s="35"/>
      <c r="AG67" s="36"/>
      <c r="AH67" s="37"/>
      <c r="AI67" s="33"/>
      <c r="AJ67" s="38"/>
    </row>
    <row r="68" spans="1:36" hidden="1" x14ac:dyDescent="0.25">
      <c r="A68" s="51">
        <v>68</v>
      </c>
      <c r="B68" s="25"/>
      <c r="C68" s="25"/>
      <c r="D68" s="25"/>
      <c r="E68" s="25"/>
      <c r="F68" s="28"/>
      <c r="G68" s="29"/>
      <c r="H68" s="29"/>
      <c r="I68" s="29"/>
      <c r="J68" s="29"/>
      <c r="K68" s="29"/>
      <c r="L68" s="49"/>
      <c r="M68" s="49"/>
      <c r="N68" s="50"/>
      <c r="O68" s="50"/>
      <c r="P68" s="50"/>
      <c r="Q68" s="25"/>
      <c r="R68" s="25"/>
      <c r="S68" s="25"/>
      <c r="T68" s="25"/>
      <c r="U68" s="25"/>
      <c r="V68" s="25"/>
      <c r="W68" s="31"/>
      <c r="X68" s="31"/>
      <c r="Y68" s="32"/>
      <c r="Z68" s="33"/>
      <c r="AA68" s="33"/>
      <c r="AB68" s="33"/>
      <c r="AC68" s="33"/>
      <c r="AD68" s="33"/>
      <c r="AE68" s="34"/>
      <c r="AF68" s="35"/>
      <c r="AG68" s="36"/>
      <c r="AH68" s="37"/>
      <c r="AI68" s="33"/>
      <c r="AJ68" s="38"/>
    </row>
    <row r="69" spans="1:36" hidden="1" x14ac:dyDescent="0.25">
      <c r="A69" s="68">
        <v>69</v>
      </c>
      <c r="B69" s="69">
        <v>2</v>
      </c>
      <c r="C69" s="69" t="s">
        <v>333</v>
      </c>
      <c r="D69" s="69"/>
      <c r="E69" s="69"/>
      <c r="F69" s="70" t="s">
        <v>171</v>
      </c>
      <c r="G69" s="29"/>
      <c r="H69" s="29"/>
      <c r="I69" s="29"/>
      <c r="J69" s="29"/>
      <c r="K69" s="29"/>
      <c r="L69" s="71" t="str">
        <f>HYPERLINK("\\mycloudpr2100\ПДО учет\ММЗ\Проект 12560\12560.017.01 Кронштейн (А2).pdf","12560.017.01")</f>
        <v>12560.017.01</v>
      </c>
      <c r="M69" s="72" t="s">
        <v>32</v>
      </c>
      <c r="N69" s="25"/>
      <c r="O69" s="72"/>
      <c r="P69" s="72"/>
      <c r="Q69" s="72">
        <v>200</v>
      </c>
      <c r="R69" s="72">
        <v>200</v>
      </c>
      <c r="S69" s="72">
        <v>200</v>
      </c>
      <c r="T69" s="72">
        <v>180</v>
      </c>
      <c r="U69" s="72">
        <v>180</v>
      </c>
      <c r="V69" s="72">
        <f t="shared" ref="V69:V78" si="42">Q69+R69+S69+T69+U69</f>
        <v>960</v>
      </c>
      <c r="W69" s="17"/>
      <c r="X69" s="17"/>
      <c r="Y69" s="32"/>
      <c r="Z69" s="73"/>
      <c r="AA69" s="73"/>
      <c r="AB69" s="73"/>
      <c r="AC69" s="73"/>
      <c r="AD69" s="73"/>
      <c r="AE69" s="74"/>
      <c r="AF69" s="75"/>
      <c r="AG69" s="76"/>
      <c r="AH69" s="77"/>
      <c r="AI69" s="73"/>
      <c r="AJ69" s="72"/>
    </row>
    <row r="70" spans="1:36" hidden="1" x14ac:dyDescent="0.25">
      <c r="A70" s="68">
        <v>70</v>
      </c>
      <c r="B70" s="69">
        <f t="shared" ref="B70:B78" si="43">B69+1</f>
        <v>3</v>
      </c>
      <c r="C70" s="69" t="s">
        <v>333</v>
      </c>
      <c r="D70" s="69"/>
      <c r="E70" s="69"/>
      <c r="F70" s="70" t="s">
        <v>171</v>
      </c>
      <c r="G70" s="29"/>
      <c r="H70" s="29"/>
      <c r="I70" s="29"/>
      <c r="J70" s="29"/>
      <c r="K70" s="29"/>
      <c r="L70" s="71" t="str">
        <f>HYPERLINK("\\mycloudpr2100\ПДО учет\ММЗ\Проект 12560\12560.017.01 Кронштейн (А2).pdf","12560.017.01-01")</f>
        <v>12560.017.01-01</v>
      </c>
      <c r="M70" s="72" t="s">
        <v>32</v>
      </c>
      <c r="N70" s="25"/>
      <c r="O70" s="72"/>
      <c r="P70" s="72"/>
      <c r="Q70" s="72">
        <v>200</v>
      </c>
      <c r="R70" s="72">
        <v>200</v>
      </c>
      <c r="S70" s="72">
        <v>200</v>
      </c>
      <c r="T70" s="72">
        <v>180</v>
      </c>
      <c r="U70" s="72">
        <v>180</v>
      </c>
      <c r="V70" s="72">
        <f t="shared" si="42"/>
        <v>960</v>
      </c>
      <c r="W70" s="17"/>
      <c r="X70" s="17"/>
      <c r="Y70" s="32"/>
      <c r="Z70" s="73"/>
      <c r="AA70" s="73"/>
      <c r="AB70" s="73"/>
      <c r="AC70" s="73"/>
      <c r="AD70" s="73"/>
      <c r="AE70" s="74"/>
      <c r="AF70" s="75"/>
      <c r="AG70" s="76"/>
      <c r="AH70" s="77"/>
      <c r="AI70" s="73"/>
      <c r="AJ70" s="72"/>
    </row>
    <row r="71" spans="1:36" hidden="1" x14ac:dyDescent="0.25">
      <c r="A71" s="68">
        <v>71</v>
      </c>
      <c r="B71" s="69">
        <f t="shared" si="43"/>
        <v>4</v>
      </c>
      <c r="C71" s="69"/>
      <c r="D71" s="69"/>
      <c r="E71" s="69"/>
      <c r="F71" s="70" t="s">
        <v>171</v>
      </c>
      <c r="G71" s="29"/>
      <c r="H71" s="29"/>
      <c r="I71" s="29"/>
      <c r="J71" s="29"/>
      <c r="K71" s="29"/>
      <c r="L71" s="71" t="str">
        <f>HYPERLINK("\\mycloudpr2100\ПДО учет\ММЗ\Проект 12560\12560.140.01 Кронтейн термостата (А3).pdf","12560.140.01")</f>
        <v>12560.140.01</v>
      </c>
      <c r="M71" s="72" t="s">
        <v>34</v>
      </c>
      <c r="N71" s="25"/>
      <c r="O71" s="72"/>
      <c r="P71" s="72"/>
      <c r="Q71" s="72">
        <v>200</v>
      </c>
      <c r="R71" s="72">
        <v>200</v>
      </c>
      <c r="S71" s="72">
        <v>200</v>
      </c>
      <c r="T71" s="72">
        <v>180</v>
      </c>
      <c r="U71" s="72">
        <v>180</v>
      </c>
      <c r="V71" s="72">
        <f t="shared" si="42"/>
        <v>960</v>
      </c>
      <c r="W71" s="17"/>
      <c r="X71" s="17"/>
      <c r="Y71" s="32"/>
      <c r="Z71" s="73"/>
      <c r="AA71" s="73"/>
      <c r="AB71" s="73"/>
      <c r="AC71" s="73"/>
      <c r="AD71" s="73"/>
      <c r="AE71" s="74"/>
      <c r="AF71" s="75"/>
      <c r="AG71" s="76"/>
      <c r="AH71" s="77"/>
      <c r="AI71" s="73"/>
      <c r="AJ71" s="72"/>
    </row>
    <row r="72" spans="1:36" hidden="1" x14ac:dyDescent="0.25">
      <c r="A72" s="68">
        <v>72</v>
      </c>
      <c r="B72" s="69">
        <f t="shared" si="43"/>
        <v>5</v>
      </c>
      <c r="C72" s="69"/>
      <c r="D72" s="69"/>
      <c r="E72" s="69"/>
      <c r="F72" s="70" t="s">
        <v>171</v>
      </c>
      <c r="G72" s="29"/>
      <c r="H72" s="29"/>
      <c r="I72" s="29"/>
      <c r="J72" s="29"/>
      <c r="K72" s="29"/>
      <c r="L72" s="71" t="str">
        <f>HYPERLINK("\\mycloudpr2100\ПДО учет\ММЗ\Проект 12560\12560.142.03 Уголок (А4).pdf","12560.142.03")</f>
        <v>12560.142.03</v>
      </c>
      <c r="M72" s="72" t="s">
        <v>36</v>
      </c>
      <c r="N72" s="25"/>
      <c r="O72" s="72"/>
      <c r="P72" s="72"/>
      <c r="Q72" s="72">
        <v>200</v>
      </c>
      <c r="R72" s="72">
        <v>200</v>
      </c>
      <c r="S72" s="72">
        <v>200</v>
      </c>
      <c r="T72" s="72">
        <v>180</v>
      </c>
      <c r="U72" s="72">
        <v>180</v>
      </c>
      <c r="V72" s="72">
        <f t="shared" si="42"/>
        <v>960</v>
      </c>
      <c r="W72" s="17"/>
      <c r="X72" s="17"/>
      <c r="Y72" s="32"/>
      <c r="Z72" s="73"/>
      <c r="AA72" s="73"/>
      <c r="AB72" s="73"/>
      <c r="AC72" s="73"/>
      <c r="AD72" s="73"/>
      <c r="AE72" s="74"/>
      <c r="AF72" s="75"/>
      <c r="AG72" s="76"/>
      <c r="AH72" s="77"/>
      <c r="AI72" s="73"/>
      <c r="AJ72" s="72"/>
    </row>
    <row r="73" spans="1:36" hidden="1" x14ac:dyDescent="0.25">
      <c r="A73" s="68">
        <v>73</v>
      </c>
      <c r="B73" s="69">
        <f t="shared" si="43"/>
        <v>6</v>
      </c>
      <c r="C73" s="69"/>
      <c r="D73" s="69"/>
      <c r="E73" s="69"/>
      <c r="F73" s="70" t="s">
        <v>171</v>
      </c>
      <c r="G73" s="29"/>
      <c r="H73" s="29"/>
      <c r="I73" s="29"/>
      <c r="J73" s="29"/>
      <c r="K73" s="29"/>
      <c r="L73" s="71" t="str">
        <f>HYPERLINK("\\mycloudpr2100\ПДО учет\ММЗ\Проект 12560\12560.142.03 Уголок (А4).pdf","12560.142.03-01")</f>
        <v>12560.142.03-01</v>
      </c>
      <c r="M73" s="72" t="s">
        <v>36</v>
      </c>
      <c r="N73" s="25"/>
      <c r="O73" s="72"/>
      <c r="P73" s="72"/>
      <c r="Q73" s="72">
        <v>200</v>
      </c>
      <c r="R73" s="72">
        <v>200</v>
      </c>
      <c r="S73" s="72">
        <v>200</v>
      </c>
      <c r="T73" s="72">
        <v>180</v>
      </c>
      <c r="U73" s="72">
        <v>180</v>
      </c>
      <c r="V73" s="72">
        <f t="shared" si="42"/>
        <v>960</v>
      </c>
      <c r="W73" s="17"/>
      <c r="X73" s="17"/>
      <c r="Y73" s="32"/>
      <c r="Z73" s="73"/>
      <c r="AA73" s="73"/>
      <c r="AB73" s="73"/>
      <c r="AC73" s="73"/>
      <c r="AD73" s="73"/>
      <c r="AE73" s="74"/>
      <c r="AF73" s="75"/>
      <c r="AG73" s="76"/>
      <c r="AH73" s="77"/>
      <c r="AI73" s="73"/>
      <c r="AJ73" s="72"/>
    </row>
    <row r="74" spans="1:36" hidden="1" x14ac:dyDescent="0.25">
      <c r="A74" s="68">
        <v>74</v>
      </c>
      <c r="B74" s="69">
        <f t="shared" si="43"/>
        <v>7</v>
      </c>
      <c r="C74" s="69"/>
      <c r="D74" s="69"/>
      <c r="E74" s="69"/>
      <c r="F74" s="70" t="s">
        <v>171</v>
      </c>
      <c r="G74" s="29"/>
      <c r="H74" s="29"/>
      <c r="I74" s="29"/>
      <c r="J74" s="29"/>
      <c r="K74" s="29"/>
      <c r="L74" s="71" t="str">
        <f>HYPERLINK("\\mycloudpr2100\ПДО учет\ММЗ\Проект 12560\12560.142.04 Кронштейн (А3х3).pdf","12560.142.04")</f>
        <v>12560.142.04</v>
      </c>
      <c r="M74" s="72" t="s">
        <v>32</v>
      </c>
      <c r="N74" s="25"/>
      <c r="O74" s="72"/>
      <c r="P74" s="72"/>
      <c r="Q74" s="72">
        <v>200</v>
      </c>
      <c r="R74" s="72">
        <v>200</v>
      </c>
      <c r="S74" s="72">
        <v>200</v>
      </c>
      <c r="T74" s="72">
        <v>180</v>
      </c>
      <c r="U74" s="72">
        <v>180</v>
      </c>
      <c r="V74" s="72">
        <f t="shared" si="42"/>
        <v>960</v>
      </c>
      <c r="W74" s="17"/>
      <c r="X74" s="17"/>
      <c r="Y74" s="32"/>
      <c r="Z74" s="73"/>
      <c r="AA74" s="73"/>
      <c r="AB74" s="73"/>
      <c r="AC74" s="73"/>
      <c r="AD74" s="73"/>
      <c r="AE74" s="74"/>
      <c r="AF74" s="75"/>
      <c r="AG74" s="76"/>
      <c r="AH74" s="77"/>
      <c r="AI74" s="73"/>
      <c r="AJ74" s="72"/>
    </row>
    <row r="75" spans="1:36" x14ac:dyDescent="0.25">
      <c r="A75" s="68">
        <v>75</v>
      </c>
      <c r="B75" s="69">
        <f t="shared" si="43"/>
        <v>8</v>
      </c>
      <c r="C75" s="69"/>
      <c r="D75" s="69" t="s">
        <v>331</v>
      </c>
      <c r="E75" s="69"/>
      <c r="F75" s="70" t="s">
        <v>171</v>
      </c>
      <c r="G75" s="29"/>
      <c r="H75" s="29"/>
      <c r="I75" s="29"/>
      <c r="J75" s="29"/>
      <c r="K75" s="29"/>
      <c r="L75" s="71" t="str">
        <f>HYPERLINK("\\mycloudpr2100\ПДО учет\ММЗ\Проект 12560\12560.205.02 Гайка (А4).pdf","12560.205.02")</f>
        <v>12560.205.02</v>
      </c>
      <c r="M75" s="72" t="s">
        <v>40</v>
      </c>
      <c r="N75" s="25"/>
      <c r="O75" s="72"/>
      <c r="P75" s="72"/>
      <c r="Q75" s="72">
        <v>200</v>
      </c>
      <c r="R75" s="72">
        <v>200</v>
      </c>
      <c r="S75" s="72">
        <v>200</v>
      </c>
      <c r="T75" s="72">
        <v>180</v>
      </c>
      <c r="U75" s="72">
        <v>180</v>
      </c>
      <c r="V75" s="72">
        <f t="shared" si="42"/>
        <v>960</v>
      </c>
      <c r="W75" s="17"/>
      <c r="X75" s="17"/>
      <c r="Y75" s="32"/>
      <c r="Z75" s="73"/>
      <c r="AA75" s="73"/>
      <c r="AB75" s="73"/>
      <c r="AC75" s="73"/>
      <c r="AD75" s="73"/>
      <c r="AE75" s="74"/>
      <c r="AF75" s="75"/>
      <c r="AG75" s="76"/>
      <c r="AH75" s="77"/>
      <c r="AI75" s="73"/>
      <c r="AJ75" s="72"/>
    </row>
    <row r="76" spans="1:36" hidden="1" x14ac:dyDescent="0.25">
      <c r="A76" s="68">
        <v>76</v>
      </c>
      <c r="B76" s="69">
        <f t="shared" si="43"/>
        <v>9</v>
      </c>
      <c r="C76" s="69"/>
      <c r="D76" s="69"/>
      <c r="E76" s="69"/>
      <c r="F76" s="70" t="s">
        <v>171</v>
      </c>
      <c r="G76" s="29"/>
      <c r="H76" s="29"/>
      <c r="I76" s="29"/>
      <c r="J76" s="29"/>
      <c r="K76" s="29"/>
      <c r="L76" s="71" t="str">
        <f>HYPERLINK("\\mycloudpr2100\ПДО учет\ММЗ\Проект 12560\12560.209.01 Крюк (А2).pdf","12560.209.01")</f>
        <v>12560.209.01</v>
      </c>
      <c r="M76" s="72" t="s">
        <v>42</v>
      </c>
      <c r="N76" s="25"/>
      <c r="O76" s="72"/>
      <c r="P76" s="72"/>
      <c r="Q76" s="72">
        <v>400</v>
      </c>
      <c r="R76" s="72">
        <v>400</v>
      </c>
      <c r="S76" s="72">
        <v>400</v>
      </c>
      <c r="T76" s="72">
        <v>360</v>
      </c>
      <c r="U76" s="72">
        <v>360</v>
      </c>
      <c r="V76" s="72">
        <f t="shared" si="42"/>
        <v>1920</v>
      </c>
      <c r="W76" s="17"/>
      <c r="X76" s="17"/>
      <c r="Y76" s="32"/>
      <c r="Z76" s="73"/>
      <c r="AA76" s="73"/>
      <c r="AB76" s="73"/>
      <c r="AC76" s="73"/>
      <c r="AD76" s="73"/>
      <c r="AE76" s="74"/>
      <c r="AF76" s="75"/>
      <c r="AG76" s="76"/>
      <c r="AH76" s="77"/>
      <c r="AI76" s="73"/>
      <c r="AJ76" s="72"/>
    </row>
    <row r="77" spans="1:36" hidden="1" x14ac:dyDescent="0.25">
      <c r="A77" s="68">
        <v>77</v>
      </c>
      <c r="B77" s="69">
        <f t="shared" si="43"/>
        <v>10</v>
      </c>
      <c r="C77" s="69" t="s">
        <v>333</v>
      </c>
      <c r="D77" s="69"/>
      <c r="E77" s="69"/>
      <c r="F77" s="70" t="s">
        <v>171</v>
      </c>
      <c r="G77" s="29"/>
      <c r="H77" s="29"/>
      <c r="I77" s="29"/>
      <c r="J77" s="29"/>
      <c r="K77" s="29"/>
      <c r="L77" s="71" t="str">
        <f>HYPERLINK("\\mycloudpr2100\ПДО учет\ММЗ\Проект 12560\12560.209.01 Крюк (А2).pdf","12560.209.01-01")</f>
        <v>12560.209.01-01</v>
      </c>
      <c r="M77" s="72" t="s">
        <v>42</v>
      </c>
      <c r="N77" s="25"/>
      <c r="O77" s="72"/>
      <c r="P77" s="72"/>
      <c r="Q77" s="72">
        <v>400</v>
      </c>
      <c r="R77" s="72">
        <v>400</v>
      </c>
      <c r="S77" s="72">
        <v>400</v>
      </c>
      <c r="T77" s="72">
        <v>360</v>
      </c>
      <c r="U77" s="72">
        <v>360</v>
      </c>
      <c r="V77" s="72">
        <f t="shared" si="42"/>
        <v>1920</v>
      </c>
      <c r="W77" s="17"/>
      <c r="X77" s="17"/>
      <c r="Y77" s="32"/>
      <c r="Z77" s="73"/>
      <c r="AA77" s="73"/>
      <c r="AB77" s="73"/>
      <c r="AC77" s="73"/>
      <c r="AD77" s="73"/>
      <c r="AE77" s="74"/>
      <c r="AF77" s="75"/>
      <c r="AG77" s="76"/>
      <c r="AH77" s="77"/>
      <c r="AI77" s="73"/>
      <c r="AJ77" s="72"/>
    </row>
    <row r="78" spans="1:36" hidden="1" x14ac:dyDescent="0.25">
      <c r="A78" s="68">
        <v>78</v>
      </c>
      <c r="B78" s="69">
        <f t="shared" si="43"/>
        <v>11</v>
      </c>
      <c r="C78" s="69"/>
      <c r="D78" s="69"/>
      <c r="E78" s="69"/>
      <c r="F78" s="70" t="s">
        <v>171</v>
      </c>
      <c r="G78" s="29"/>
      <c r="H78" s="29"/>
      <c r="I78" s="29"/>
      <c r="J78" s="29"/>
      <c r="K78" s="29"/>
      <c r="L78" s="71" t="str">
        <f>HYPERLINK("\\mycloudpr2100\ПДО учет\ММЗ\Проект 12560\12560.210.02 Уголок (А3).pdf","12560.210.02")</f>
        <v>12560.210.02</v>
      </c>
      <c r="M78" s="72" t="s">
        <v>36</v>
      </c>
      <c r="N78" s="25"/>
      <c r="O78" s="72"/>
      <c r="P78" s="72"/>
      <c r="Q78" s="72">
        <v>400</v>
      </c>
      <c r="R78" s="72">
        <v>400</v>
      </c>
      <c r="S78" s="72">
        <v>400</v>
      </c>
      <c r="T78" s="72">
        <v>360</v>
      </c>
      <c r="U78" s="72">
        <v>360</v>
      </c>
      <c r="V78" s="72">
        <f t="shared" si="42"/>
        <v>1920</v>
      </c>
      <c r="W78" s="17"/>
      <c r="X78" s="17"/>
      <c r="Y78" s="32"/>
      <c r="Z78" s="73"/>
      <c r="AA78" s="73"/>
      <c r="AB78" s="73"/>
      <c r="AC78" s="73"/>
      <c r="AD78" s="73"/>
      <c r="AE78" s="74"/>
      <c r="AF78" s="75"/>
      <c r="AG78" s="76"/>
      <c r="AH78" s="77"/>
      <c r="AI78" s="73"/>
      <c r="AJ78" s="72"/>
    </row>
    <row r="79" spans="1:36" hidden="1" x14ac:dyDescent="0.25">
      <c r="A79" s="51">
        <v>79</v>
      </c>
      <c r="B79" s="25"/>
      <c r="C79" s="25"/>
      <c r="D79" s="25"/>
      <c r="E79" s="25"/>
      <c r="F79" s="28"/>
      <c r="G79" s="29"/>
      <c r="H79" s="29"/>
      <c r="I79" s="29"/>
      <c r="J79" s="29"/>
      <c r="K79" s="29"/>
      <c r="L79" s="49"/>
      <c r="M79" s="49"/>
      <c r="N79" s="50"/>
      <c r="O79" s="50"/>
      <c r="P79" s="50"/>
      <c r="Q79" s="25"/>
      <c r="R79" s="25"/>
      <c r="S79" s="25"/>
      <c r="T79" s="25"/>
      <c r="U79" s="25"/>
      <c r="V79" s="25"/>
      <c r="W79" s="31"/>
      <c r="X79" s="31"/>
      <c r="Y79" s="32"/>
      <c r="Z79" s="33"/>
      <c r="AA79" s="33"/>
      <c r="AB79" s="33"/>
      <c r="AC79" s="33"/>
      <c r="AD79" s="33"/>
      <c r="AE79" s="34"/>
      <c r="AF79" s="35"/>
      <c r="AG79" s="36"/>
      <c r="AH79" s="37"/>
      <c r="AI79" s="33"/>
      <c r="AJ79" s="38"/>
    </row>
    <row r="80" spans="1:36" x14ac:dyDescent="0.25">
      <c r="A80" s="68">
        <v>80</v>
      </c>
      <c r="B80" s="69">
        <v>13</v>
      </c>
      <c r="C80" s="69"/>
      <c r="D80" s="69" t="s">
        <v>331</v>
      </c>
      <c r="E80" s="69"/>
      <c r="F80" s="70" t="s">
        <v>171</v>
      </c>
      <c r="G80" s="29"/>
      <c r="H80" s="29"/>
      <c r="I80" s="29"/>
      <c r="J80" s="29"/>
      <c r="K80" s="29"/>
      <c r="L80" s="71" t="str">
        <f>HYPERLINK("\\mycloudpr2100\ПДО учет\ММЗ\Проект 12560\12560.222.02 Накладка (А3).pdf","12560.222.02")</f>
        <v>12560.222.02</v>
      </c>
      <c r="M80" s="72" t="s">
        <v>50</v>
      </c>
      <c r="N80" s="25"/>
      <c r="O80" s="72"/>
      <c r="P80" s="72"/>
      <c r="Q80" s="72">
        <v>200</v>
      </c>
      <c r="R80" s="72">
        <v>200</v>
      </c>
      <c r="S80" s="72">
        <v>200</v>
      </c>
      <c r="T80" s="72">
        <v>180</v>
      </c>
      <c r="U80" s="72">
        <v>180</v>
      </c>
      <c r="V80" s="72">
        <f t="shared" ref="V80:V86" si="44">Q80+R80+S80+T80+U80</f>
        <v>960</v>
      </c>
      <c r="W80" s="17"/>
      <c r="X80" s="17"/>
      <c r="Y80" s="32"/>
      <c r="Z80" s="73"/>
      <c r="AA80" s="73"/>
      <c r="AB80" s="73"/>
      <c r="AC80" s="73"/>
      <c r="AD80" s="73"/>
      <c r="AE80" s="74"/>
      <c r="AF80" s="75"/>
      <c r="AG80" s="76"/>
      <c r="AH80" s="77"/>
      <c r="AI80" s="73"/>
      <c r="AJ80" s="72"/>
    </row>
    <row r="81" spans="1:36" x14ac:dyDescent="0.25">
      <c r="A81" s="68">
        <v>81</v>
      </c>
      <c r="B81" s="69">
        <f>B80+1</f>
        <v>14</v>
      </c>
      <c r="C81" s="69"/>
      <c r="D81" s="69" t="s">
        <v>331</v>
      </c>
      <c r="E81" s="69"/>
      <c r="F81" s="70" t="s">
        <v>171</v>
      </c>
      <c r="G81" s="29"/>
      <c r="H81" s="29"/>
      <c r="I81" s="29"/>
      <c r="J81" s="29"/>
      <c r="K81" s="29"/>
      <c r="L81" s="71" t="str">
        <f>HYPERLINK("\\mycloudpr2100\ПДО учет\ММЗ\Проект 12560\12560.222.03 Накладка (А3).pdf","12560.222.03")</f>
        <v>12560.222.03</v>
      </c>
      <c r="M81" s="72" t="s">
        <v>50</v>
      </c>
      <c r="N81" s="25"/>
      <c r="O81" s="72"/>
      <c r="P81" s="72"/>
      <c r="Q81" s="72">
        <v>200</v>
      </c>
      <c r="R81" s="72">
        <v>200</v>
      </c>
      <c r="S81" s="72">
        <v>200</v>
      </c>
      <c r="T81" s="72">
        <v>180</v>
      </c>
      <c r="U81" s="72">
        <v>180</v>
      </c>
      <c r="V81" s="72">
        <f t="shared" si="44"/>
        <v>960</v>
      </c>
      <c r="W81" s="17"/>
      <c r="X81" s="17"/>
      <c r="Y81" s="32"/>
      <c r="Z81" s="73"/>
      <c r="AA81" s="73"/>
      <c r="AB81" s="73"/>
      <c r="AC81" s="73"/>
      <c r="AD81" s="73"/>
      <c r="AE81" s="74"/>
      <c r="AF81" s="75"/>
      <c r="AG81" s="76"/>
      <c r="AH81" s="77"/>
      <c r="AI81" s="73"/>
      <c r="AJ81" s="72"/>
    </row>
    <row r="82" spans="1:36" hidden="1" x14ac:dyDescent="0.25">
      <c r="A82" s="68">
        <v>82</v>
      </c>
      <c r="B82" s="69">
        <v>15</v>
      </c>
      <c r="C82" s="69" t="s">
        <v>333</v>
      </c>
      <c r="D82" s="69"/>
      <c r="E82" s="69"/>
      <c r="F82" s="70" t="s">
        <v>171</v>
      </c>
      <c r="G82" s="29"/>
      <c r="H82" s="29"/>
      <c r="I82" s="29"/>
      <c r="J82" s="29"/>
      <c r="K82" s="29"/>
      <c r="L82" s="71" t="str">
        <f>HYPERLINK("\\mycloudpr2100\ПДО учет\ММЗ\Проект 12560\12560.240.06 Кронштейн (А2).pdf","12560.240.06")</f>
        <v>12560.240.06</v>
      </c>
      <c r="M82" s="72" t="s">
        <v>32</v>
      </c>
      <c r="N82" s="25"/>
      <c r="O82" s="72"/>
      <c r="P82" s="72"/>
      <c r="Q82" s="72">
        <v>200</v>
      </c>
      <c r="R82" s="72">
        <v>200</v>
      </c>
      <c r="S82" s="72">
        <v>200</v>
      </c>
      <c r="T82" s="72">
        <v>180</v>
      </c>
      <c r="U82" s="72">
        <v>180</v>
      </c>
      <c r="V82" s="72">
        <f t="shared" si="44"/>
        <v>960</v>
      </c>
      <c r="W82" s="17"/>
      <c r="X82" s="17"/>
      <c r="Y82" s="32"/>
      <c r="Z82" s="73"/>
      <c r="AA82" s="73"/>
      <c r="AB82" s="73"/>
      <c r="AC82" s="73"/>
      <c r="AD82" s="73"/>
      <c r="AE82" s="74"/>
      <c r="AF82" s="75"/>
      <c r="AG82" s="76"/>
      <c r="AH82" s="77"/>
      <c r="AI82" s="73"/>
      <c r="AJ82" s="72"/>
    </row>
    <row r="83" spans="1:36" hidden="1" x14ac:dyDescent="0.25">
      <c r="A83" s="68">
        <v>83</v>
      </c>
      <c r="B83" s="69">
        <f>B82+1</f>
        <v>16</v>
      </c>
      <c r="C83" s="69" t="s">
        <v>333</v>
      </c>
      <c r="D83" s="69"/>
      <c r="E83" s="69"/>
      <c r="F83" s="70" t="s">
        <v>171</v>
      </c>
      <c r="G83" s="29"/>
      <c r="H83" s="29"/>
      <c r="I83" s="29"/>
      <c r="J83" s="29"/>
      <c r="K83" s="29"/>
      <c r="L83" s="71" t="str">
        <f>HYPERLINK("\\mycloudpr2100\ПДО учет\ММЗ\Проект 12560\12560.240.06 Кронштейн (А2).pdf","12560.240.06-01")</f>
        <v>12560.240.06-01</v>
      </c>
      <c r="M83" s="72" t="s">
        <v>32</v>
      </c>
      <c r="N83" s="25"/>
      <c r="O83" s="72"/>
      <c r="P83" s="72"/>
      <c r="Q83" s="72">
        <v>200</v>
      </c>
      <c r="R83" s="72">
        <v>200</v>
      </c>
      <c r="S83" s="72">
        <v>200</v>
      </c>
      <c r="T83" s="72">
        <v>180</v>
      </c>
      <c r="U83" s="72">
        <v>180</v>
      </c>
      <c r="V83" s="72">
        <f t="shared" si="44"/>
        <v>960</v>
      </c>
      <c r="W83" s="17"/>
      <c r="X83" s="17"/>
      <c r="Y83" s="32"/>
      <c r="Z83" s="73"/>
      <c r="AA83" s="73"/>
      <c r="AB83" s="73"/>
      <c r="AC83" s="73"/>
      <c r="AD83" s="73"/>
      <c r="AE83" s="74"/>
      <c r="AF83" s="75"/>
      <c r="AG83" s="76"/>
      <c r="AH83" s="77"/>
      <c r="AI83" s="73"/>
      <c r="AJ83" s="72"/>
    </row>
    <row r="84" spans="1:36" hidden="1" x14ac:dyDescent="0.25">
      <c r="A84" s="68">
        <v>84</v>
      </c>
      <c r="B84" s="69">
        <f>B83+1</f>
        <v>17</v>
      </c>
      <c r="C84" s="69" t="s">
        <v>333</v>
      </c>
      <c r="D84" s="69"/>
      <c r="E84" s="69"/>
      <c r="F84" s="70" t="s">
        <v>171</v>
      </c>
      <c r="G84" s="29"/>
      <c r="H84" s="29"/>
      <c r="I84" s="29"/>
      <c r="J84" s="29"/>
      <c r="K84" s="29"/>
      <c r="L84" s="71" t="str">
        <f>HYPERLINK("\\mycloudpr2100\ПДО учет\ММЗ\Проект 12560\12560.243.01 Кронштейн (А4х3).pdf","12560.243.01")</f>
        <v>12560.243.01</v>
      </c>
      <c r="M84" s="72" t="s">
        <v>32</v>
      </c>
      <c r="N84" s="25"/>
      <c r="O84" s="72"/>
      <c r="P84" s="72"/>
      <c r="Q84" s="72">
        <v>400</v>
      </c>
      <c r="R84" s="72">
        <v>400</v>
      </c>
      <c r="S84" s="72">
        <v>400</v>
      </c>
      <c r="T84" s="72">
        <v>360</v>
      </c>
      <c r="U84" s="72">
        <v>360</v>
      </c>
      <c r="V84" s="72">
        <f t="shared" si="44"/>
        <v>1920</v>
      </c>
      <c r="W84" s="17"/>
      <c r="X84" s="17"/>
      <c r="Y84" s="32"/>
      <c r="Z84" s="73"/>
      <c r="AA84" s="73"/>
      <c r="AB84" s="73"/>
      <c r="AC84" s="73"/>
      <c r="AD84" s="73"/>
      <c r="AE84" s="74"/>
      <c r="AF84" s="75"/>
      <c r="AG84" s="76"/>
      <c r="AH84" s="77"/>
      <c r="AI84" s="73"/>
      <c r="AJ84" s="72"/>
    </row>
    <row r="85" spans="1:36" hidden="1" x14ac:dyDescent="0.25">
      <c r="A85" s="68">
        <v>85</v>
      </c>
      <c r="B85" s="69">
        <f>B84+1</f>
        <v>18</v>
      </c>
      <c r="C85" s="69" t="s">
        <v>333</v>
      </c>
      <c r="D85" s="69"/>
      <c r="E85" s="69"/>
      <c r="F85" s="70" t="s">
        <v>171</v>
      </c>
      <c r="G85" s="29"/>
      <c r="H85" s="29"/>
      <c r="I85" s="29"/>
      <c r="J85" s="29"/>
      <c r="K85" s="29"/>
      <c r="L85" s="71" t="str">
        <f>HYPERLINK("\\mycloudpr2100\ПДО учет\ММЗ\Проект 12560\12560.245.01 Кронштейн привода (А4х3).pdf","12560.245.01")</f>
        <v>12560.245.01</v>
      </c>
      <c r="M85" s="72" t="s">
        <v>56</v>
      </c>
      <c r="N85" s="25"/>
      <c r="O85" s="72"/>
      <c r="P85" s="72"/>
      <c r="Q85" s="72">
        <v>200</v>
      </c>
      <c r="R85" s="72">
        <v>200</v>
      </c>
      <c r="S85" s="72">
        <v>200</v>
      </c>
      <c r="T85" s="72">
        <v>180</v>
      </c>
      <c r="U85" s="72">
        <v>180</v>
      </c>
      <c r="V85" s="72">
        <f t="shared" si="44"/>
        <v>960</v>
      </c>
      <c r="W85" s="17"/>
      <c r="X85" s="17"/>
      <c r="Y85" s="32"/>
      <c r="Z85" s="73"/>
      <c r="AA85" s="73"/>
      <c r="AB85" s="73"/>
      <c r="AC85" s="73"/>
      <c r="AD85" s="73"/>
      <c r="AE85" s="74"/>
      <c r="AF85" s="75"/>
      <c r="AG85" s="76"/>
      <c r="AH85" s="77"/>
      <c r="AI85" s="73"/>
      <c r="AJ85" s="72"/>
    </row>
    <row r="86" spans="1:36" hidden="1" x14ac:dyDescent="0.25">
      <c r="A86" s="68">
        <v>86</v>
      </c>
      <c r="B86" s="69">
        <f>B85+1</f>
        <v>19</v>
      </c>
      <c r="C86" s="69" t="s">
        <v>333</v>
      </c>
      <c r="D86" s="69"/>
      <c r="E86" s="69"/>
      <c r="F86" s="70" t="s">
        <v>171</v>
      </c>
      <c r="G86" s="29"/>
      <c r="H86" s="29"/>
      <c r="I86" s="29"/>
      <c r="J86" s="29"/>
      <c r="K86" s="29"/>
      <c r="L86" s="71" t="str">
        <f>HYPERLINK("\\mycloudpr2100\ПДО учет\ММЗ\Проект 12560\12560.245.02 Кронштейн киля (А4х3).pdf","12560.245.02")</f>
        <v>12560.245.02</v>
      </c>
      <c r="M86" s="72" t="s">
        <v>58</v>
      </c>
      <c r="N86" s="25"/>
      <c r="O86" s="72"/>
      <c r="P86" s="72"/>
      <c r="Q86" s="72">
        <v>200</v>
      </c>
      <c r="R86" s="72">
        <v>200</v>
      </c>
      <c r="S86" s="72">
        <v>200</v>
      </c>
      <c r="T86" s="72">
        <v>180</v>
      </c>
      <c r="U86" s="72">
        <v>180</v>
      </c>
      <c r="V86" s="72">
        <f t="shared" si="44"/>
        <v>960</v>
      </c>
      <c r="W86" s="17"/>
      <c r="X86" s="17"/>
      <c r="Y86" s="32"/>
      <c r="Z86" s="73"/>
      <c r="AA86" s="73"/>
      <c r="AB86" s="73"/>
      <c r="AC86" s="73"/>
      <c r="AD86" s="73"/>
      <c r="AE86" s="74"/>
      <c r="AF86" s="75"/>
      <c r="AG86" s="76"/>
      <c r="AH86" s="77"/>
      <c r="AI86" s="73"/>
      <c r="AJ86" s="72"/>
    </row>
    <row r="87" spans="1:36" hidden="1" x14ac:dyDescent="0.25">
      <c r="A87" s="51">
        <v>87</v>
      </c>
      <c r="B87" s="25"/>
      <c r="C87" s="25"/>
      <c r="D87" s="25"/>
      <c r="E87" s="25"/>
      <c r="F87" s="28"/>
      <c r="G87" s="29"/>
      <c r="H87" s="29"/>
      <c r="I87" s="29"/>
      <c r="J87" s="29"/>
      <c r="K87" s="29"/>
      <c r="L87" s="49"/>
      <c r="M87" s="49"/>
      <c r="N87" s="50"/>
      <c r="O87" s="50"/>
      <c r="P87" s="50"/>
      <c r="Q87" s="25"/>
      <c r="R87" s="25"/>
      <c r="S87" s="25"/>
      <c r="T87" s="25"/>
      <c r="U87" s="25"/>
      <c r="V87" s="25"/>
      <c r="W87" s="31"/>
      <c r="X87" s="31"/>
      <c r="Y87" s="32"/>
      <c r="Z87" s="33"/>
      <c r="AA87" s="33"/>
      <c r="AB87" s="33"/>
      <c r="AC87" s="33"/>
      <c r="AD87" s="33"/>
      <c r="AE87" s="34"/>
      <c r="AF87" s="35"/>
      <c r="AG87" s="36"/>
      <c r="AH87" s="37"/>
      <c r="AI87" s="33"/>
      <c r="AJ87" s="38"/>
    </row>
    <row r="88" spans="1:36" hidden="1" x14ac:dyDescent="0.25">
      <c r="A88" s="68">
        <v>88</v>
      </c>
      <c r="B88" s="69">
        <v>21</v>
      </c>
      <c r="C88" s="69"/>
      <c r="D88" s="69"/>
      <c r="E88" s="69"/>
      <c r="F88" s="70" t="s">
        <v>171</v>
      </c>
      <c r="G88" s="29"/>
      <c r="H88" s="29"/>
      <c r="I88" s="29"/>
      <c r="J88" s="29"/>
      <c r="K88" s="29"/>
      <c r="L88" s="71" t="str">
        <f>HYPERLINK("\\mycloudpr2100\ПДО учет\ММЗ\Проект 12560\12560.248.12 Тройник (А4).pdf","12560.248.12")</f>
        <v>12560.248.12</v>
      </c>
      <c r="M88" s="72" t="s">
        <v>67</v>
      </c>
      <c r="N88" s="25"/>
      <c r="O88" s="72"/>
      <c r="P88" s="72"/>
      <c r="Q88" s="72">
        <v>600</v>
      </c>
      <c r="R88" s="72">
        <v>600</v>
      </c>
      <c r="S88" s="72">
        <v>600</v>
      </c>
      <c r="T88" s="72">
        <v>540</v>
      </c>
      <c r="U88" s="72">
        <v>540</v>
      </c>
      <c r="V88" s="72">
        <f t="shared" ref="V88:V119" si="45">Q88+R88+S88+T88+U88</f>
        <v>2880</v>
      </c>
      <c r="W88" s="17"/>
      <c r="X88" s="17"/>
      <c r="Y88" s="32"/>
      <c r="Z88" s="73"/>
      <c r="AA88" s="73"/>
      <c r="AB88" s="73"/>
      <c r="AC88" s="73"/>
      <c r="AD88" s="73"/>
      <c r="AE88" s="74"/>
      <c r="AF88" s="75"/>
      <c r="AG88" s="76"/>
      <c r="AH88" s="77"/>
      <c r="AI88" s="73"/>
      <c r="AJ88" s="72"/>
    </row>
    <row r="89" spans="1:36" hidden="1" x14ac:dyDescent="0.25">
      <c r="A89" s="68">
        <v>89</v>
      </c>
      <c r="B89" s="69">
        <f t="shared" ref="B89:B119" si="46">B88+1</f>
        <v>22</v>
      </c>
      <c r="C89" s="69"/>
      <c r="D89" s="69"/>
      <c r="E89" s="69"/>
      <c r="F89" s="70" t="s">
        <v>171</v>
      </c>
      <c r="G89" s="29"/>
      <c r="H89" s="29"/>
      <c r="I89" s="29"/>
      <c r="J89" s="29"/>
      <c r="K89" s="29"/>
      <c r="L89" s="71" t="str">
        <f>HYPERLINK("\\mycloudpr2100\ПДО учет\ММЗ\Проект 12560\12560.248.13 Переходник (А3).pdf","12560.248.13")</f>
        <v>12560.248.13</v>
      </c>
      <c r="M89" s="72" t="s">
        <v>69</v>
      </c>
      <c r="N89" s="25"/>
      <c r="O89" s="72"/>
      <c r="P89" s="72"/>
      <c r="Q89" s="72">
        <v>200</v>
      </c>
      <c r="R89" s="72">
        <v>200</v>
      </c>
      <c r="S89" s="72">
        <v>200</v>
      </c>
      <c r="T89" s="72">
        <v>180</v>
      </c>
      <c r="U89" s="72">
        <v>180</v>
      </c>
      <c r="V89" s="72">
        <f t="shared" si="45"/>
        <v>960</v>
      </c>
      <c r="W89" s="17"/>
      <c r="X89" s="17"/>
      <c r="Y89" s="32"/>
      <c r="Z89" s="73"/>
      <c r="AA89" s="73"/>
      <c r="AB89" s="73"/>
      <c r="AC89" s="73"/>
      <c r="AD89" s="73"/>
      <c r="AE89" s="74"/>
      <c r="AF89" s="75"/>
      <c r="AG89" s="76"/>
      <c r="AH89" s="77"/>
      <c r="AI89" s="73"/>
      <c r="AJ89" s="72"/>
    </row>
    <row r="90" spans="1:36" hidden="1" x14ac:dyDescent="0.25">
      <c r="A90" s="68">
        <v>90</v>
      </c>
      <c r="B90" s="69">
        <f t="shared" si="46"/>
        <v>23</v>
      </c>
      <c r="C90" s="69"/>
      <c r="D90" s="69"/>
      <c r="E90" s="69"/>
      <c r="F90" s="70" t="s">
        <v>171</v>
      </c>
      <c r="G90" s="29"/>
      <c r="H90" s="29"/>
      <c r="I90" s="29"/>
      <c r="J90" s="29"/>
      <c r="K90" s="29"/>
      <c r="L90" s="71" t="str">
        <f>HYPERLINK("\\mycloudpr2100\ПДО учет\ММЗ\Проект 12560\12560.248.15 Кронштейн (А4).pdf","12560.248.15")</f>
        <v>12560.248.15</v>
      </c>
      <c r="M90" s="72" t="s">
        <v>32</v>
      </c>
      <c r="N90" s="25"/>
      <c r="O90" s="72"/>
      <c r="P90" s="72"/>
      <c r="Q90" s="72">
        <v>200</v>
      </c>
      <c r="R90" s="72">
        <v>200</v>
      </c>
      <c r="S90" s="72">
        <v>200</v>
      </c>
      <c r="T90" s="72">
        <v>180</v>
      </c>
      <c r="U90" s="72">
        <v>180</v>
      </c>
      <c r="V90" s="72">
        <f t="shared" si="45"/>
        <v>960</v>
      </c>
      <c r="W90" s="17"/>
      <c r="X90" s="17"/>
      <c r="Y90" s="32"/>
      <c r="Z90" s="73"/>
      <c r="AA90" s="73"/>
      <c r="AB90" s="73"/>
      <c r="AC90" s="73"/>
      <c r="AD90" s="73"/>
      <c r="AE90" s="74"/>
      <c r="AF90" s="75"/>
      <c r="AG90" s="76"/>
      <c r="AH90" s="77"/>
      <c r="AI90" s="73"/>
      <c r="AJ90" s="72"/>
    </row>
    <row r="91" spans="1:36" hidden="1" x14ac:dyDescent="0.25">
      <c r="A91" s="68">
        <v>91</v>
      </c>
      <c r="B91" s="69">
        <f t="shared" si="46"/>
        <v>24</v>
      </c>
      <c r="C91" s="69"/>
      <c r="D91" s="69"/>
      <c r="E91" s="69"/>
      <c r="F91" s="70" t="s">
        <v>171</v>
      </c>
      <c r="G91" s="29"/>
      <c r="H91" s="29"/>
      <c r="I91" s="29"/>
      <c r="J91" s="29"/>
      <c r="K91" s="29"/>
      <c r="L91" s="71" t="str">
        <f>HYPERLINK("\\mycloudpr2100\ПДО учет\ММЗ\Проект 12560\12560.248.16 Патрубок (А4).pdf","12560.248.16")</f>
        <v>12560.248.16</v>
      </c>
      <c r="M91" s="72" t="s">
        <v>72</v>
      </c>
      <c r="N91" s="25"/>
      <c r="O91" s="72"/>
      <c r="P91" s="72"/>
      <c r="Q91" s="72">
        <v>200</v>
      </c>
      <c r="R91" s="72">
        <v>200</v>
      </c>
      <c r="S91" s="72">
        <v>200</v>
      </c>
      <c r="T91" s="72">
        <v>180</v>
      </c>
      <c r="U91" s="72">
        <v>180</v>
      </c>
      <c r="V91" s="72">
        <f t="shared" si="45"/>
        <v>960</v>
      </c>
      <c r="W91" s="17"/>
      <c r="X91" s="17"/>
      <c r="Y91" s="32"/>
      <c r="Z91" s="73"/>
      <c r="AA91" s="73"/>
      <c r="AB91" s="73"/>
      <c r="AC91" s="73"/>
      <c r="AD91" s="73"/>
      <c r="AE91" s="74"/>
      <c r="AF91" s="75"/>
      <c r="AG91" s="76"/>
      <c r="AH91" s="77"/>
      <c r="AI91" s="73"/>
      <c r="AJ91" s="72"/>
    </row>
    <row r="92" spans="1:36" hidden="1" x14ac:dyDescent="0.25">
      <c r="A92" s="68">
        <v>92</v>
      </c>
      <c r="B92" s="69">
        <f t="shared" si="46"/>
        <v>25</v>
      </c>
      <c r="C92" s="69"/>
      <c r="D92" s="69"/>
      <c r="E92" s="69"/>
      <c r="F92" s="70" t="s">
        <v>171</v>
      </c>
      <c r="G92" s="29"/>
      <c r="H92" s="29"/>
      <c r="I92" s="29"/>
      <c r="J92" s="29"/>
      <c r="K92" s="29"/>
      <c r="L92" s="71" t="str">
        <f>HYPERLINK("\\mycloudpr2100\ПДО учет\ММЗ\Проект 12560\12560.249.01 Кронштейн (А3).pdf","12560.249.01")</f>
        <v>12560.249.01</v>
      </c>
      <c r="M92" s="72" t="s">
        <v>32</v>
      </c>
      <c r="N92" s="25"/>
      <c r="O92" s="72"/>
      <c r="P92" s="72"/>
      <c r="Q92" s="72">
        <v>200</v>
      </c>
      <c r="R92" s="72">
        <v>200</v>
      </c>
      <c r="S92" s="72">
        <v>200</v>
      </c>
      <c r="T92" s="72">
        <v>180</v>
      </c>
      <c r="U92" s="72">
        <v>180</v>
      </c>
      <c r="V92" s="72">
        <f t="shared" si="45"/>
        <v>960</v>
      </c>
      <c r="W92" s="17"/>
      <c r="X92" s="17"/>
      <c r="Y92" s="32"/>
      <c r="Z92" s="73"/>
      <c r="AA92" s="73"/>
      <c r="AB92" s="73"/>
      <c r="AC92" s="73"/>
      <c r="AD92" s="73"/>
      <c r="AE92" s="74"/>
      <c r="AF92" s="75"/>
      <c r="AG92" s="76"/>
      <c r="AH92" s="77"/>
      <c r="AI92" s="73"/>
      <c r="AJ92" s="72"/>
    </row>
    <row r="93" spans="1:36" hidden="1" x14ac:dyDescent="0.25">
      <c r="A93" s="68">
        <v>93</v>
      </c>
      <c r="B93" s="69">
        <f t="shared" si="46"/>
        <v>26</v>
      </c>
      <c r="C93" s="69" t="s">
        <v>333</v>
      </c>
      <c r="D93" s="69"/>
      <c r="E93" s="69"/>
      <c r="F93" s="70" t="s">
        <v>171</v>
      </c>
      <c r="G93" s="29"/>
      <c r="H93" s="29"/>
      <c r="I93" s="29"/>
      <c r="J93" s="29"/>
      <c r="K93" s="29"/>
      <c r="L93" s="71" t="str">
        <f>HYPERLINK("\\mycloudpr2100\ПДО учет\ММЗ\Проект 12560\12560.250.03 Накладка (А3).pdf","12560.250.03")</f>
        <v>12560.250.03</v>
      </c>
      <c r="M93" s="72" t="s">
        <v>50</v>
      </c>
      <c r="N93" s="25"/>
      <c r="O93" s="72"/>
      <c r="P93" s="72"/>
      <c r="Q93" s="72">
        <v>400</v>
      </c>
      <c r="R93" s="72">
        <v>400</v>
      </c>
      <c r="S93" s="72">
        <v>400</v>
      </c>
      <c r="T93" s="72">
        <v>360</v>
      </c>
      <c r="U93" s="72">
        <v>360</v>
      </c>
      <c r="V93" s="72">
        <f t="shared" si="45"/>
        <v>1920</v>
      </c>
      <c r="W93" s="17"/>
      <c r="X93" s="17"/>
      <c r="Y93" s="32"/>
      <c r="Z93" s="73"/>
      <c r="AA93" s="73"/>
      <c r="AB93" s="73"/>
      <c r="AC93" s="73"/>
      <c r="AD93" s="73"/>
      <c r="AE93" s="74"/>
      <c r="AF93" s="75"/>
      <c r="AG93" s="76"/>
      <c r="AH93" s="77"/>
      <c r="AI93" s="73"/>
      <c r="AJ93" s="72"/>
    </row>
    <row r="94" spans="1:36" hidden="1" x14ac:dyDescent="0.25">
      <c r="A94" s="68">
        <v>94</v>
      </c>
      <c r="B94" s="69">
        <f t="shared" si="46"/>
        <v>27</v>
      </c>
      <c r="C94" s="69" t="s">
        <v>333</v>
      </c>
      <c r="D94" s="69"/>
      <c r="E94" s="69"/>
      <c r="F94" s="70" t="s">
        <v>171</v>
      </c>
      <c r="G94" s="29"/>
      <c r="H94" s="29"/>
      <c r="I94" s="29"/>
      <c r="J94" s="29"/>
      <c r="K94" s="29"/>
      <c r="L94" s="71" t="str">
        <f>HYPERLINK("\\mycloudpr2100\ПДО учет\ММЗ\Проект 12560\12560.250.03 Накладка (А3).pdf","12560.250.03-01")</f>
        <v>12560.250.03-01</v>
      </c>
      <c r="M94" s="72" t="s">
        <v>50</v>
      </c>
      <c r="N94" s="25"/>
      <c r="O94" s="72"/>
      <c r="P94" s="72"/>
      <c r="Q94" s="72">
        <v>200</v>
      </c>
      <c r="R94" s="72">
        <v>200</v>
      </c>
      <c r="S94" s="72">
        <v>200</v>
      </c>
      <c r="T94" s="72">
        <v>180</v>
      </c>
      <c r="U94" s="72">
        <v>180</v>
      </c>
      <c r="V94" s="72">
        <f t="shared" si="45"/>
        <v>960</v>
      </c>
      <c r="W94" s="17"/>
      <c r="X94" s="17"/>
      <c r="Y94" s="32"/>
      <c r="Z94" s="73"/>
      <c r="AA94" s="73"/>
      <c r="AB94" s="73"/>
      <c r="AC94" s="73"/>
      <c r="AD94" s="73"/>
      <c r="AE94" s="74"/>
      <c r="AF94" s="75"/>
      <c r="AG94" s="76"/>
      <c r="AH94" s="77"/>
      <c r="AI94" s="73"/>
      <c r="AJ94" s="72"/>
    </row>
    <row r="95" spans="1:36" hidden="1" x14ac:dyDescent="0.25">
      <c r="A95" s="68">
        <v>95</v>
      </c>
      <c r="B95" s="69">
        <f t="shared" si="46"/>
        <v>28</v>
      </c>
      <c r="C95" s="69"/>
      <c r="D95" s="69"/>
      <c r="E95" s="69"/>
      <c r="F95" s="70" t="s">
        <v>171</v>
      </c>
      <c r="G95" s="29"/>
      <c r="H95" s="29"/>
      <c r="I95" s="29"/>
      <c r="J95" s="29"/>
      <c r="K95" s="29"/>
      <c r="L95" s="71" t="str">
        <f>HYPERLINK("\\mycloudpr2100\ПДО учет\ММЗ\Проект 12560\12560.252.01 Пластина (А3).pdf","12560.252.01")</f>
        <v>12560.252.01</v>
      </c>
      <c r="M95" s="72" t="s">
        <v>77</v>
      </c>
      <c r="N95" s="25"/>
      <c r="O95" s="72"/>
      <c r="P95" s="72"/>
      <c r="Q95" s="72">
        <v>200</v>
      </c>
      <c r="R95" s="72">
        <v>200</v>
      </c>
      <c r="S95" s="72">
        <v>200</v>
      </c>
      <c r="T95" s="72">
        <v>180</v>
      </c>
      <c r="U95" s="72">
        <v>180</v>
      </c>
      <c r="V95" s="72">
        <f t="shared" si="45"/>
        <v>960</v>
      </c>
      <c r="W95" s="17"/>
      <c r="X95" s="17"/>
      <c r="Y95" s="32"/>
      <c r="Z95" s="73"/>
      <c r="AA95" s="73"/>
      <c r="AB95" s="73"/>
      <c r="AC95" s="73"/>
      <c r="AD95" s="73"/>
      <c r="AE95" s="74"/>
      <c r="AF95" s="75"/>
      <c r="AG95" s="76"/>
      <c r="AH95" s="77"/>
      <c r="AI95" s="73"/>
      <c r="AJ95" s="72"/>
    </row>
    <row r="96" spans="1:36" x14ac:dyDescent="0.25">
      <c r="A96" s="68">
        <v>96</v>
      </c>
      <c r="B96" s="69">
        <f t="shared" si="46"/>
        <v>29</v>
      </c>
      <c r="C96" s="69"/>
      <c r="D96" s="69" t="s">
        <v>331</v>
      </c>
      <c r="E96" s="69"/>
      <c r="F96" s="70" t="s">
        <v>171</v>
      </c>
      <c r="G96" s="29"/>
      <c r="H96" s="29"/>
      <c r="I96" s="29"/>
      <c r="J96" s="29"/>
      <c r="K96" s="29"/>
      <c r="L96" s="71" t="str">
        <f>HYPERLINK("\\mycloudpr2100\ПДО учет\ММЗ\Проект 12560\12560.252.03 Плунжер (А4).pdf","12560.252.03")</f>
        <v>12560.252.03</v>
      </c>
      <c r="M96" s="72" t="s">
        <v>79</v>
      </c>
      <c r="N96" s="25"/>
      <c r="O96" s="72"/>
      <c r="P96" s="72"/>
      <c r="Q96" s="72">
        <v>1000</v>
      </c>
      <c r="R96" s="72">
        <v>1000</v>
      </c>
      <c r="S96" s="72">
        <v>1000</v>
      </c>
      <c r="T96" s="72">
        <v>900</v>
      </c>
      <c r="U96" s="72">
        <v>900</v>
      </c>
      <c r="V96" s="72">
        <f t="shared" si="45"/>
        <v>4800</v>
      </c>
      <c r="W96" s="17"/>
      <c r="X96" s="17"/>
      <c r="Y96" s="32"/>
      <c r="Z96" s="73"/>
      <c r="AA96" s="73"/>
      <c r="AB96" s="73"/>
      <c r="AC96" s="73"/>
      <c r="AD96" s="73"/>
      <c r="AE96" s="74"/>
      <c r="AF96" s="75"/>
      <c r="AG96" s="76"/>
      <c r="AH96" s="77"/>
      <c r="AI96" s="73"/>
      <c r="AJ96" s="72"/>
    </row>
    <row r="97" spans="1:36" x14ac:dyDescent="0.25">
      <c r="A97" s="68">
        <v>97</v>
      </c>
      <c r="B97" s="69">
        <f t="shared" si="46"/>
        <v>30</v>
      </c>
      <c r="C97" s="69"/>
      <c r="D97" s="69" t="s">
        <v>331</v>
      </c>
      <c r="E97" s="69"/>
      <c r="F97" s="70" t="s">
        <v>171</v>
      </c>
      <c r="G97" s="29"/>
      <c r="H97" s="29"/>
      <c r="I97" s="29"/>
      <c r="J97" s="29"/>
      <c r="K97" s="29"/>
      <c r="L97" s="71" t="str">
        <f>HYPERLINK("\\mycloudpr2100\ПДО учет\ММЗ\Проект 12560\12560.252.04 Штифт (А4).pdf","12560.252.04")</f>
        <v>12560.252.04</v>
      </c>
      <c r="M97" s="72" t="s">
        <v>81</v>
      </c>
      <c r="N97" s="25"/>
      <c r="O97" s="72"/>
      <c r="P97" s="72"/>
      <c r="Q97" s="72">
        <v>1000</v>
      </c>
      <c r="R97" s="72">
        <v>1000</v>
      </c>
      <c r="S97" s="72">
        <v>1000</v>
      </c>
      <c r="T97" s="72">
        <v>900</v>
      </c>
      <c r="U97" s="72">
        <v>900</v>
      </c>
      <c r="V97" s="72">
        <f t="shared" si="45"/>
        <v>4800</v>
      </c>
      <c r="W97" s="17"/>
      <c r="X97" s="17"/>
      <c r="Y97" s="32"/>
      <c r="Z97" s="73"/>
      <c r="AA97" s="73"/>
      <c r="AB97" s="73"/>
      <c r="AC97" s="73"/>
      <c r="AD97" s="73"/>
      <c r="AE97" s="74"/>
      <c r="AF97" s="75"/>
      <c r="AG97" s="76"/>
      <c r="AH97" s="77"/>
      <c r="AI97" s="73"/>
      <c r="AJ97" s="72"/>
    </row>
    <row r="98" spans="1:36" hidden="1" x14ac:dyDescent="0.25">
      <c r="A98" s="68">
        <v>98</v>
      </c>
      <c r="B98" s="69">
        <f t="shared" si="46"/>
        <v>31</v>
      </c>
      <c r="C98" s="69"/>
      <c r="D98" s="69"/>
      <c r="E98" s="69"/>
      <c r="F98" s="70" t="s">
        <v>171</v>
      </c>
      <c r="G98" s="29"/>
      <c r="H98" s="29"/>
      <c r="I98" s="29"/>
      <c r="J98" s="29"/>
      <c r="K98" s="29"/>
      <c r="L98" s="71" t="str">
        <f>HYPERLINK("\\mycloudpr2100\ПДО учет\ММЗ\Проект 12560\12560.253.01 Втулка (А4).pdf","12560.253.01")</f>
        <v>12560.253.01</v>
      </c>
      <c r="M98" s="72" t="s">
        <v>83</v>
      </c>
      <c r="N98" s="25"/>
      <c r="O98" s="72"/>
      <c r="P98" s="72"/>
      <c r="Q98" s="72">
        <v>600</v>
      </c>
      <c r="R98" s="72">
        <v>600</v>
      </c>
      <c r="S98" s="72">
        <v>600</v>
      </c>
      <c r="T98" s="72">
        <v>540</v>
      </c>
      <c r="U98" s="72">
        <v>540</v>
      </c>
      <c r="V98" s="72">
        <f t="shared" si="45"/>
        <v>2880</v>
      </c>
      <c r="W98" s="17"/>
      <c r="X98" s="17"/>
      <c r="Y98" s="32"/>
      <c r="Z98" s="73"/>
      <c r="AA98" s="73"/>
      <c r="AB98" s="73"/>
      <c r="AC98" s="73"/>
      <c r="AD98" s="73"/>
      <c r="AE98" s="74"/>
      <c r="AF98" s="75"/>
      <c r="AG98" s="76"/>
      <c r="AH98" s="77"/>
      <c r="AI98" s="73"/>
      <c r="AJ98" s="72"/>
    </row>
    <row r="99" spans="1:36" hidden="1" x14ac:dyDescent="0.25">
      <c r="A99" s="68">
        <v>99</v>
      </c>
      <c r="B99" s="69">
        <f t="shared" si="46"/>
        <v>32</v>
      </c>
      <c r="C99" s="69" t="s">
        <v>333</v>
      </c>
      <c r="D99" s="69"/>
      <c r="E99" s="69"/>
      <c r="F99" s="70" t="s">
        <v>171</v>
      </c>
      <c r="G99" s="29"/>
      <c r="H99" s="29"/>
      <c r="I99" s="29"/>
      <c r="J99" s="29"/>
      <c r="K99" s="29"/>
      <c r="L99" s="71" t="str">
        <f>HYPERLINK("\\mycloudpr2100\ПДО учет\ММЗ\Проект 12560\12560.253.02 Пластина (А3).pdf","12560.253.02")</f>
        <v>12560.253.02</v>
      </c>
      <c r="M99" s="72" t="s">
        <v>77</v>
      </c>
      <c r="N99" s="25"/>
      <c r="O99" s="72"/>
      <c r="P99" s="72"/>
      <c r="Q99" s="72">
        <v>400</v>
      </c>
      <c r="R99" s="72">
        <v>400</v>
      </c>
      <c r="S99" s="72">
        <v>400</v>
      </c>
      <c r="T99" s="72">
        <v>360</v>
      </c>
      <c r="U99" s="72">
        <v>360</v>
      </c>
      <c r="V99" s="72">
        <f t="shared" si="45"/>
        <v>1920</v>
      </c>
      <c r="W99" s="17"/>
      <c r="X99" s="17"/>
      <c r="Y99" s="32"/>
      <c r="Z99" s="73"/>
      <c r="AA99" s="73"/>
      <c r="AB99" s="73"/>
      <c r="AC99" s="73"/>
      <c r="AD99" s="73"/>
      <c r="AE99" s="74"/>
      <c r="AF99" s="75"/>
      <c r="AG99" s="76"/>
      <c r="AH99" s="77"/>
      <c r="AI99" s="73"/>
      <c r="AJ99" s="72"/>
    </row>
    <row r="100" spans="1:36" hidden="1" x14ac:dyDescent="0.25">
      <c r="A100" s="68">
        <v>100</v>
      </c>
      <c r="B100" s="69">
        <f t="shared" si="46"/>
        <v>33</v>
      </c>
      <c r="C100" s="69" t="s">
        <v>333</v>
      </c>
      <c r="D100" s="69"/>
      <c r="E100" s="69"/>
      <c r="F100" s="70" t="s">
        <v>171</v>
      </c>
      <c r="G100" s="29"/>
      <c r="H100" s="29"/>
      <c r="I100" s="29"/>
      <c r="J100" s="29"/>
      <c r="K100" s="29"/>
      <c r="L100" s="71" t="str">
        <f>HYPERLINK("\\mycloudpr2100\ПДО учет\ММЗ\Проект 12560\12560.254.02 Вставка (А2).pdf","12560.254.02")</f>
        <v>12560.254.02</v>
      </c>
      <c r="M100" s="72" t="s">
        <v>86</v>
      </c>
      <c r="N100" s="25"/>
      <c r="O100" s="72"/>
      <c r="P100" s="72"/>
      <c r="Q100" s="72">
        <v>400</v>
      </c>
      <c r="R100" s="72">
        <v>400</v>
      </c>
      <c r="S100" s="72">
        <v>400</v>
      </c>
      <c r="T100" s="72">
        <v>360</v>
      </c>
      <c r="U100" s="72">
        <v>360</v>
      </c>
      <c r="V100" s="72">
        <f t="shared" si="45"/>
        <v>1920</v>
      </c>
      <c r="W100" s="17"/>
      <c r="X100" s="17"/>
      <c r="Y100" s="32"/>
      <c r="Z100" s="73"/>
      <c r="AA100" s="73"/>
      <c r="AB100" s="73"/>
      <c r="AC100" s="73"/>
      <c r="AD100" s="73"/>
      <c r="AE100" s="74"/>
      <c r="AF100" s="75"/>
      <c r="AG100" s="76"/>
      <c r="AH100" s="77"/>
      <c r="AI100" s="73"/>
      <c r="AJ100" s="72"/>
    </row>
    <row r="101" spans="1:36" hidden="1" x14ac:dyDescent="0.25">
      <c r="A101" s="68">
        <v>101</v>
      </c>
      <c r="B101" s="69">
        <f t="shared" si="46"/>
        <v>34</v>
      </c>
      <c r="C101" s="69" t="s">
        <v>333</v>
      </c>
      <c r="D101" s="69"/>
      <c r="E101" s="69"/>
      <c r="F101" s="70" t="s">
        <v>171</v>
      </c>
      <c r="G101" s="29"/>
      <c r="H101" s="29"/>
      <c r="I101" s="29"/>
      <c r="J101" s="29"/>
      <c r="K101" s="29"/>
      <c r="L101" s="71" t="str">
        <f>HYPERLINK("\\mycloudpr2100\ПДО учет\ММЗ\Проект 12560\12560.254.03 Вставка (А2).pdf","12560.254.03")</f>
        <v>12560.254.03</v>
      </c>
      <c r="M101" s="72" t="s">
        <v>86</v>
      </c>
      <c r="N101" s="25"/>
      <c r="O101" s="72"/>
      <c r="P101" s="72"/>
      <c r="Q101" s="72">
        <v>600</v>
      </c>
      <c r="R101" s="72">
        <v>600</v>
      </c>
      <c r="S101" s="72">
        <v>600</v>
      </c>
      <c r="T101" s="72">
        <v>540</v>
      </c>
      <c r="U101" s="72">
        <v>540</v>
      </c>
      <c r="V101" s="72">
        <f t="shared" si="45"/>
        <v>2880</v>
      </c>
      <c r="W101" s="17"/>
      <c r="X101" s="17"/>
      <c r="Y101" s="32"/>
      <c r="Z101" s="73"/>
      <c r="AA101" s="73"/>
      <c r="AB101" s="73"/>
      <c r="AC101" s="73"/>
      <c r="AD101" s="73"/>
      <c r="AE101" s="74"/>
      <c r="AF101" s="75"/>
      <c r="AG101" s="76"/>
      <c r="AH101" s="77"/>
      <c r="AI101" s="73"/>
      <c r="AJ101" s="72"/>
    </row>
    <row r="102" spans="1:36" x14ac:dyDescent="0.25">
      <c r="A102" s="68">
        <v>102</v>
      </c>
      <c r="B102" s="69">
        <f t="shared" si="46"/>
        <v>35</v>
      </c>
      <c r="C102" s="69"/>
      <c r="D102" s="69" t="s">
        <v>331</v>
      </c>
      <c r="E102" s="69"/>
      <c r="F102" s="70" t="s">
        <v>171</v>
      </c>
      <c r="G102" s="29"/>
      <c r="H102" s="29"/>
      <c r="I102" s="29"/>
      <c r="J102" s="29"/>
      <c r="K102" s="29"/>
      <c r="L102" s="71" t="str">
        <f>HYPERLINK("\\mycloudpr2100\ПДО учет\ММЗ\Проект 12560\12560.256.01 Ось (А4).pdf","12560.256.01")</f>
        <v>12560.256.01</v>
      </c>
      <c r="M102" s="72" t="s">
        <v>89</v>
      </c>
      <c r="N102" s="25"/>
      <c r="O102" s="72"/>
      <c r="P102" s="72"/>
      <c r="Q102" s="72">
        <v>600</v>
      </c>
      <c r="R102" s="72">
        <v>600</v>
      </c>
      <c r="S102" s="72">
        <v>600</v>
      </c>
      <c r="T102" s="72">
        <v>540</v>
      </c>
      <c r="U102" s="72">
        <v>540</v>
      </c>
      <c r="V102" s="72">
        <f t="shared" si="45"/>
        <v>2880</v>
      </c>
      <c r="W102" s="17"/>
      <c r="X102" s="17"/>
      <c r="Y102" s="32"/>
      <c r="Z102" s="73"/>
      <c r="AA102" s="73"/>
      <c r="AB102" s="73"/>
      <c r="AC102" s="73"/>
      <c r="AD102" s="73"/>
      <c r="AE102" s="74"/>
      <c r="AF102" s="75"/>
      <c r="AG102" s="76"/>
      <c r="AH102" s="77"/>
      <c r="AI102" s="73"/>
      <c r="AJ102" s="72"/>
    </row>
    <row r="103" spans="1:36" hidden="1" x14ac:dyDescent="0.25">
      <c r="A103" s="68">
        <v>103</v>
      </c>
      <c r="B103" s="69">
        <f t="shared" si="46"/>
        <v>36</v>
      </c>
      <c r="C103" s="69" t="s">
        <v>333</v>
      </c>
      <c r="D103" s="69"/>
      <c r="E103" s="69"/>
      <c r="F103" s="70" t="s">
        <v>171</v>
      </c>
      <c r="G103" s="29"/>
      <c r="H103" s="29"/>
      <c r="I103" s="29"/>
      <c r="J103" s="29"/>
      <c r="K103" s="29"/>
      <c r="L103" s="71" t="str">
        <f>HYPERLINK("\\mycloudpr2100\ПДО учет\ММЗ\Проект 12560\12560.256.02 Руль (А4х3).pdf","12560.256.02")</f>
        <v>12560.256.02</v>
      </c>
      <c r="M103" s="72" t="s">
        <v>91</v>
      </c>
      <c r="N103" s="25"/>
      <c r="O103" s="72"/>
      <c r="P103" s="72"/>
      <c r="Q103" s="72">
        <v>400</v>
      </c>
      <c r="R103" s="72">
        <v>400</v>
      </c>
      <c r="S103" s="72">
        <v>400</v>
      </c>
      <c r="T103" s="72">
        <v>360</v>
      </c>
      <c r="U103" s="72">
        <v>360</v>
      </c>
      <c r="V103" s="72">
        <f t="shared" si="45"/>
        <v>1920</v>
      </c>
      <c r="W103" s="17"/>
      <c r="X103" s="17"/>
      <c r="Y103" s="32"/>
      <c r="Z103" s="73"/>
      <c r="AA103" s="73"/>
      <c r="AB103" s="73"/>
      <c r="AC103" s="73"/>
      <c r="AD103" s="73"/>
      <c r="AE103" s="74"/>
      <c r="AF103" s="75"/>
      <c r="AG103" s="76"/>
      <c r="AH103" s="77"/>
      <c r="AI103" s="73"/>
      <c r="AJ103" s="72"/>
    </row>
    <row r="104" spans="1:36" hidden="1" x14ac:dyDescent="0.25">
      <c r="A104" s="68">
        <v>104</v>
      </c>
      <c r="B104" s="69">
        <f t="shared" si="46"/>
        <v>37</v>
      </c>
      <c r="C104" s="69" t="s">
        <v>333</v>
      </c>
      <c r="D104" s="69"/>
      <c r="E104" s="69"/>
      <c r="F104" s="70" t="s">
        <v>171</v>
      </c>
      <c r="G104" s="29"/>
      <c r="H104" s="29"/>
      <c r="I104" s="29"/>
      <c r="J104" s="29"/>
      <c r="K104" s="29"/>
      <c r="L104" s="71" t="str">
        <f>HYPERLINK("\\mycloudpr2100\ПДО учет\ММЗ\Проект 12560\12560.256.02 Руль (А4х3).pdf","12560.256.02-01")</f>
        <v>12560.256.02-01</v>
      </c>
      <c r="M104" s="72" t="s">
        <v>91</v>
      </c>
      <c r="N104" s="25"/>
      <c r="O104" s="72"/>
      <c r="P104" s="72"/>
      <c r="Q104" s="72">
        <v>200</v>
      </c>
      <c r="R104" s="72">
        <v>200</v>
      </c>
      <c r="S104" s="72">
        <v>200</v>
      </c>
      <c r="T104" s="72">
        <v>180</v>
      </c>
      <c r="U104" s="72">
        <v>180</v>
      </c>
      <c r="V104" s="72">
        <f t="shared" si="45"/>
        <v>960</v>
      </c>
      <c r="W104" s="17"/>
      <c r="X104" s="17"/>
      <c r="Y104" s="32"/>
      <c r="Z104" s="73"/>
      <c r="AA104" s="73"/>
      <c r="AB104" s="73"/>
      <c r="AC104" s="73"/>
      <c r="AD104" s="73"/>
      <c r="AE104" s="74"/>
      <c r="AF104" s="75"/>
      <c r="AG104" s="76"/>
      <c r="AH104" s="77"/>
      <c r="AI104" s="73"/>
      <c r="AJ104" s="72"/>
    </row>
    <row r="105" spans="1:36" hidden="1" x14ac:dyDescent="0.25">
      <c r="A105" s="68">
        <v>105</v>
      </c>
      <c r="B105" s="69">
        <f t="shared" si="46"/>
        <v>38</v>
      </c>
      <c r="C105" s="69" t="s">
        <v>333</v>
      </c>
      <c r="D105" s="69"/>
      <c r="E105" s="69"/>
      <c r="F105" s="70" t="s">
        <v>171</v>
      </c>
      <c r="G105" s="29"/>
      <c r="H105" s="29"/>
      <c r="I105" s="29"/>
      <c r="J105" s="29"/>
      <c r="K105" s="29"/>
      <c r="L105" s="71" t="str">
        <f>HYPERLINK("\\mycloudpr2100\ПДО учет\ММЗ\Проект 12560\12560.257.01 Пластина (А3).pdf","12560.257.01")</f>
        <v>12560.257.01</v>
      </c>
      <c r="M105" s="72" t="s">
        <v>77</v>
      </c>
      <c r="N105" s="25"/>
      <c r="O105" s="72"/>
      <c r="P105" s="72"/>
      <c r="Q105" s="72">
        <v>200</v>
      </c>
      <c r="R105" s="72">
        <v>200</v>
      </c>
      <c r="S105" s="72">
        <v>200</v>
      </c>
      <c r="T105" s="72">
        <v>180</v>
      </c>
      <c r="U105" s="72">
        <v>180</v>
      </c>
      <c r="V105" s="72">
        <f t="shared" si="45"/>
        <v>960</v>
      </c>
      <c r="W105" s="17"/>
      <c r="X105" s="17"/>
      <c r="Y105" s="32"/>
      <c r="Z105" s="73"/>
      <c r="AA105" s="73"/>
      <c r="AB105" s="73"/>
      <c r="AC105" s="73"/>
      <c r="AD105" s="73"/>
      <c r="AE105" s="74"/>
      <c r="AF105" s="75"/>
      <c r="AG105" s="76"/>
      <c r="AH105" s="77"/>
      <c r="AI105" s="73"/>
      <c r="AJ105" s="72"/>
    </row>
    <row r="106" spans="1:36" hidden="1" x14ac:dyDescent="0.25">
      <c r="A106" s="68">
        <v>106</v>
      </c>
      <c r="B106" s="69">
        <f t="shared" si="46"/>
        <v>39</v>
      </c>
      <c r="C106" s="69" t="s">
        <v>333</v>
      </c>
      <c r="D106" s="69"/>
      <c r="E106" s="69"/>
      <c r="F106" s="70" t="s">
        <v>171</v>
      </c>
      <c r="G106" s="29"/>
      <c r="H106" s="29"/>
      <c r="I106" s="29"/>
      <c r="J106" s="29"/>
      <c r="K106" s="29"/>
      <c r="L106" s="71" t="str">
        <f>HYPERLINK("\\mycloudpr2100\ПДО учет\ММЗ\Проект 12560\12560.257.02 Профиль (А3).pdf","12560.257.02")</f>
        <v>12560.257.02</v>
      </c>
      <c r="M106" s="72" t="s">
        <v>64</v>
      </c>
      <c r="N106" s="25"/>
      <c r="O106" s="72"/>
      <c r="P106" s="72"/>
      <c r="Q106" s="72">
        <v>200</v>
      </c>
      <c r="R106" s="72">
        <v>200</v>
      </c>
      <c r="S106" s="72">
        <v>200</v>
      </c>
      <c r="T106" s="72">
        <v>180</v>
      </c>
      <c r="U106" s="72">
        <v>180</v>
      </c>
      <c r="V106" s="72">
        <f t="shared" si="45"/>
        <v>960</v>
      </c>
      <c r="W106" s="17"/>
      <c r="X106" s="17"/>
      <c r="Y106" s="32"/>
      <c r="Z106" s="73"/>
      <c r="AA106" s="73"/>
      <c r="AB106" s="73"/>
      <c r="AC106" s="73"/>
      <c r="AD106" s="73"/>
      <c r="AE106" s="74"/>
      <c r="AF106" s="75"/>
      <c r="AG106" s="76"/>
      <c r="AH106" s="77"/>
      <c r="AI106" s="73"/>
      <c r="AJ106" s="72"/>
    </row>
    <row r="107" spans="1:36" hidden="1" x14ac:dyDescent="0.25">
      <c r="A107" s="68">
        <v>107</v>
      </c>
      <c r="B107" s="69">
        <f t="shared" si="46"/>
        <v>40</v>
      </c>
      <c r="C107" s="69" t="s">
        <v>333</v>
      </c>
      <c r="D107" s="69"/>
      <c r="E107" s="69"/>
      <c r="F107" s="70" t="s">
        <v>171</v>
      </c>
      <c r="G107" s="29"/>
      <c r="H107" s="29"/>
      <c r="I107" s="29"/>
      <c r="J107" s="29"/>
      <c r="K107" s="29"/>
      <c r="L107" s="71" t="str">
        <f>HYPERLINK("\\mycloudpr2100\ПДО учет\ММЗ\Проект 12560\12560.259.04 Вставка верхняя (А4х3).pdf","12560.259.04")</f>
        <v>12560.259.04</v>
      </c>
      <c r="M107" s="72" t="s">
        <v>96</v>
      </c>
      <c r="N107" s="25"/>
      <c r="O107" s="72"/>
      <c r="P107" s="72"/>
      <c r="Q107" s="72">
        <v>200</v>
      </c>
      <c r="R107" s="72">
        <v>200</v>
      </c>
      <c r="S107" s="72">
        <v>200</v>
      </c>
      <c r="T107" s="72">
        <v>180</v>
      </c>
      <c r="U107" s="72">
        <v>180</v>
      </c>
      <c r="V107" s="72">
        <f t="shared" si="45"/>
        <v>960</v>
      </c>
      <c r="W107" s="17"/>
      <c r="X107" s="17"/>
      <c r="Y107" s="32"/>
      <c r="Z107" s="73"/>
      <c r="AA107" s="73"/>
      <c r="AB107" s="73"/>
      <c r="AC107" s="73"/>
      <c r="AD107" s="73"/>
      <c r="AE107" s="74"/>
      <c r="AF107" s="75"/>
      <c r="AG107" s="76"/>
      <c r="AH107" s="77"/>
      <c r="AI107" s="73"/>
      <c r="AJ107" s="72"/>
    </row>
    <row r="108" spans="1:36" hidden="1" x14ac:dyDescent="0.25">
      <c r="A108" s="68">
        <v>108</v>
      </c>
      <c r="B108" s="69">
        <f t="shared" si="46"/>
        <v>41</v>
      </c>
      <c r="C108" s="69" t="s">
        <v>333</v>
      </c>
      <c r="D108" s="69"/>
      <c r="E108" s="69"/>
      <c r="F108" s="70" t="s">
        <v>171</v>
      </c>
      <c r="G108" s="29"/>
      <c r="H108" s="29"/>
      <c r="I108" s="29"/>
      <c r="J108" s="29"/>
      <c r="K108" s="29"/>
      <c r="L108" s="71" t="str">
        <f>HYPERLINK("\\mycloudpr2100\ПДО учет\ММЗ\Проект 12560\12560.259.05 Пластина крепежная (А4).pdf","12560.259.05")</f>
        <v>12560.259.05</v>
      </c>
      <c r="M108" s="72" t="s">
        <v>98</v>
      </c>
      <c r="N108" s="25"/>
      <c r="O108" s="72"/>
      <c r="P108" s="72"/>
      <c r="Q108" s="72">
        <v>200</v>
      </c>
      <c r="R108" s="72">
        <v>200</v>
      </c>
      <c r="S108" s="72">
        <v>200</v>
      </c>
      <c r="T108" s="72">
        <v>180</v>
      </c>
      <c r="U108" s="72">
        <v>180</v>
      </c>
      <c r="V108" s="72">
        <f t="shared" si="45"/>
        <v>960</v>
      </c>
      <c r="W108" s="17"/>
      <c r="X108" s="17"/>
      <c r="Y108" s="32"/>
      <c r="Z108" s="73"/>
      <c r="AA108" s="73"/>
      <c r="AB108" s="73"/>
      <c r="AC108" s="73"/>
      <c r="AD108" s="73"/>
      <c r="AE108" s="74"/>
      <c r="AF108" s="75"/>
      <c r="AG108" s="76"/>
      <c r="AH108" s="77"/>
      <c r="AI108" s="73"/>
      <c r="AJ108" s="72"/>
    </row>
    <row r="109" spans="1:36" hidden="1" x14ac:dyDescent="0.25">
      <c r="A109" s="68">
        <v>109</v>
      </c>
      <c r="B109" s="69">
        <f t="shared" si="46"/>
        <v>42</v>
      </c>
      <c r="C109" s="69"/>
      <c r="D109" s="69"/>
      <c r="E109" s="69"/>
      <c r="F109" s="70" t="s">
        <v>171</v>
      </c>
      <c r="G109" s="29"/>
      <c r="H109" s="29"/>
      <c r="I109" s="29"/>
      <c r="J109" s="29"/>
      <c r="K109" s="29"/>
      <c r="L109" s="71" t="str">
        <f>HYPERLINK("\\mycloudpr2100\ПДО учет\ММЗ\Проект 12560\12560.261.06 Груз (А4).pdf","12560.261.06")</f>
        <v>12560.261.06</v>
      </c>
      <c r="M109" s="72" t="s">
        <v>100</v>
      </c>
      <c r="N109" s="25"/>
      <c r="O109" s="72"/>
      <c r="P109" s="72"/>
      <c r="Q109" s="72">
        <v>200</v>
      </c>
      <c r="R109" s="72">
        <v>200</v>
      </c>
      <c r="S109" s="72">
        <v>200</v>
      </c>
      <c r="T109" s="72">
        <v>180</v>
      </c>
      <c r="U109" s="72">
        <v>180</v>
      </c>
      <c r="V109" s="72">
        <f t="shared" si="45"/>
        <v>960</v>
      </c>
      <c r="W109" s="17"/>
      <c r="X109" s="17"/>
      <c r="Y109" s="32"/>
      <c r="Z109" s="73"/>
      <c r="AA109" s="73"/>
      <c r="AB109" s="73"/>
      <c r="AC109" s="73"/>
      <c r="AD109" s="73"/>
      <c r="AE109" s="74"/>
      <c r="AF109" s="75"/>
      <c r="AG109" s="76"/>
      <c r="AH109" s="77"/>
      <c r="AI109" s="73"/>
      <c r="AJ109" s="72"/>
    </row>
    <row r="110" spans="1:36" x14ac:dyDescent="0.25">
      <c r="A110" s="68">
        <v>110</v>
      </c>
      <c r="B110" s="69">
        <f t="shared" si="46"/>
        <v>43</v>
      </c>
      <c r="C110" s="69"/>
      <c r="D110" s="69" t="s">
        <v>331</v>
      </c>
      <c r="E110" s="69"/>
      <c r="F110" s="70" t="s">
        <v>171</v>
      </c>
      <c r="G110" s="29"/>
      <c r="H110" s="29"/>
      <c r="I110" s="29"/>
      <c r="J110" s="29"/>
      <c r="K110" s="29"/>
      <c r="L110" s="71" t="str">
        <f>HYPERLINK("\\mycloudpr2100\ПДО учет\ММЗ\Проект 12560\12560.271.03 Накладка (А2).pdf","12560.271.03")</f>
        <v>12560.271.03</v>
      </c>
      <c r="M110" s="72" t="s">
        <v>50</v>
      </c>
      <c r="N110" s="25"/>
      <c r="O110" s="72"/>
      <c r="P110" s="72"/>
      <c r="Q110" s="72">
        <v>200</v>
      </c>
      <c r="R110" s="72">
        <v>200</v>
      </c>
      <c r="S110" s="72">
        <v>200</v>
      </c>
      <c r="T110" s="72">
        <v>180</v>
      </c>
      <c r="U110" s="72">
        <v>180</v>
      </c>
      <c r="V110" s="72">
        <f t="shared" si="45"/>
        <v>960</v>
      </c>
      <c r="W110" s="17"/>
      <c r="X110" s="17"/>
      <c r="Y110" s="32"/>
      <c r="Z110" s="73"/>
      <c r="AA110" s="73"/>
      <c r="AB110" s="73"/>
      <c r="AC110" s="73"/>
      <c r="AD110" s="73"/>
      <c r="AE110" s="74"/>
      <c r="AF110" s="75"/>
      <c r="AG110" s="76"/>
      <c r="AH110" s="77"/>
      <c r="AI110" s="73"/>
      <c r="AJ110" s="72"/>
    </row>
    <row r="111" spans="1:36" x14ac:dyDescent="0.25">
      <c r="A111" s="68">
        <v>111</v>
      </c>
      <c r="B111" s="69">
        <f t="shared" si="46"/>
        <v>44</v>
      </c>
      <c r="C111" s="69"/>
      <c r="D111" s="69" t="s">
        <v>331</v>
      </c>
      <c r="E111" s="69"/>
      <c r="F111" s="70" t="s">
        <v>171</v>
      </c>
      <c r="G111" s="29"/>
      <c r="H111" s="29"/>
      <c r="I111" s="29"/>
      <c r="J111" s="29"/>
      <c r="K111" s="29"/>
      <c r="L111" s="71" t="str">
        <f>HYPERLINK("\\mycloudpr2100\ПДО учет\ММЗ\Проект 12560\12560.271.03 Накладка (А2).pdf","12560.271.03-01")</f>
        <v>12560.271.03-01</v>
      </c>
      <c r="M111" s="72" t="s">
        <v>50</v>
      </c>
      <c r="N111" s="25"/>
      <c r="O111" s="72"/>
      <c r="P111" s="72"/>
      <c r="Q111" s="72">
        <v>200</v>
      </c>
      <c r="R111" s="72">
        <v>200</v>
      </c>
      <c r="S111" s="72">
        <v>200</v>
      </c>
      <c r="T111" s="72">
        <v>180</v>
      </c>
      <c r="U111" s="72">
        <v>180</v>
      </c>
      <c r="V111" s="72">
        <f t="shared" si="45"/>
        <v>960</v>
      </c>
      <c r="W111" s="17"/>
      <c r="X111" s="17"/>
      <c r="Y111" s="32"/>
      <c r="Z111" s="73"/>
      <c r="AA111" s="73"/>
      <c r="AB111" s="73"/>
      <c r="AC111" s="73"/>
      <c r="AD111" s="73"/>
      <c r="AE111" s="74"/>
      <c r="AF111" s="75"/>
      <c r="AG111" s="76"/>
      <c r="AH111" s="77"/>
      <c r="AI111" s="73"/>
      <c r="AJ111" s="72"/>
    </row>
    <row r="112" spans="1:36" x14ac:dyDescent="0.25">
      <c r="A112" s="68">
        <v>112</v>
      </c>
      <c r="B112" s="69">
        <f t="shared" si="46"/>
        <v>45</v>
      </c>
      <c r="C112" s="69"/>
      <c r="D112" s="69" t="s">
        <v>331</v>
      </c>
      <c r="E112" s="69"/>
      <c r="F112" s="70" t="s">
        <v>171</v>
      </c>
      <c r="G112" s="29"/>
      <c r="H112" s="29"/>
      <c r="I112" s="29"/>
      <c r="J112" s="29"/>
      <c r="K112" s="29"/>
      <c r="L112" s="71" t="str">
        <f>HYPERLINK("\\mycloudpr2100\ПДО учет\ММЗ\Проект 12560\12560.271.04 Накладка (А2).pdf","12560.271.04")</f>
        <v>12560.271.04</v>
      </c>
      <c r="M112" s="72" t="s">
        <v>50</v>
      </c>
      <c r="N112" s="25"/>
      <c r="O112" s="72"/>
      <c r="P112" s="72"/>
      <c r="Q112" s="72">
        <v>200</v>
      </c>
      <c r="R112" s="72">
        <v>200</v>
      </c>
      <c r="S112" s="72">
        <v>200</v>
      </c>
      <c r="T112" s="72">
        <v>180</v>
      </c>
      <c r="U112" s="72">
        <v>180</v>
      </c>
      <c r="V112" s="72">
        <f t="shared" si="45"/>
        <v>960</v>
      </c>
      <c r="W112" s="17"/>
      <c r="X112" s="17"/>
      <c r="Y112" s="32"/>
      <c r="Z112" s="73"/>
      <c r="AA112" s="73"/>
      <c r="AB112" s="73"/>
      <c r="AC112" s="73"/>
      <c r="AD112" s="73"/>
      <c r="AE112" s="74"/>
      <c r="AF112" s="75"/>
      <c r="AG112" s="76"/>
      <c r="AH112" s="77"/>
      <c r="AI112" s="73"/>
      <c r="AJ112" s="72"/>
    </row>
    <row r="113" spans="1:36" x14ac:dyDescent="0.25">
      <c r="A113" s="68">
        <v>113</v>
      </c>
      <c r="B113" s="69">
        <f t="shared" si="46"/>
        <v>46</v>
      </c>
      <c r="C113" s="69"/>
      <c r="D113" s="69" t="s">
        <v>331</v>
      </c>
      <c r="E113" s="69"/>
      <c r="F113" s="70" t="s">
        <v>171</v>
      </c>
      <c r="G113" s="29"/>
      <c r="H113" s="29"/>
      <c r="I113" s="29"/>
      <c r="J113" s="29"/>
      <c r="K113" s="29"/>
      <c r="L113" s="71" t="str">
        <f>HYPERLINK("\\mycloudpr2100\ПДО учет\ММЗ\Проект 12560\12560.271.04 Накладка (А2).pdf","12560.271.04-01")</f>
        <v>12560.271.04-01</v>
      </c>
      <c r="M113" s="72" t="s">
        <v>50</v>
      </c>
      <c r="N113" s="25"/>
      <c r="O113" s="72"/>
      <c r="P113" s="72"/>
      <c r="Q113" s="72">
        <v>200</v>
      </c>
      <c r="R113" s="72">
        <v>200</v>
      </c>
      <c r="S113" s="72">
        <v>200</v>
      </c>
      <c r="T113" s="72">
        <v>180</v>
      </c>
      <c r="U113" s="72">
        <v>180</v>
      </c>
      <c r="V113" s="72">
        <f t="shared" si="45"/>
        <v>960</v>
      </c>
      <c r="W113" s="17"/>
      <c r="X113" s="17"/>
      <c r="Y113" s="32"/>
      <c r="Z113" s="73"/>
      <c r="AA113" s="73"/>
      <c r="AB113" s="73"/>
      <c r="AC113" s="73"/>
      <c r="AD113" s="73"/>
      <c r="AE113" s="74"/>
      <c r="AF113" s="75"/>
      <c r="AG113" s="76"/>
      <c r="AH113" s="77"/>
      <c r="AI113" s="73"/>
      <c r="AJ113" s="72"/>
    </row>
    <row r="114" spans="1:36" hidden="1" x14ac:dyDescent="0.25">
      <c r="A114" s="68">
        <v>114</v>
      </c>
      <c r="B114" s="69">
        <f t="shared" si="46"/>
        <v>47</v>
      </c>
      <c r="C114" s="69"/>
      <c r="D114" s="69"/>
      <c r="E114" s="69"/>
      <c r="F114" s="70" t="s">
        <v>171</v>
      </c>
      <c r="G114" s="29"/>
      <c r="H114" s="29"/>
      <c r="I114" s="29"/>
      <c r="J114" s="29"/>
      <c r="K114" s="29"/>
      <c r="L114" s="71" t="str">
        <f>HYPERLINK("\\mycloudpr2100\ПДО учет\ММЗ\Проект 12560\12560.271.05 Шайба (А4).pdf","12560.271.05")</f>
        <v>12560.271.05</v>
      </c>
      <c r="M114" s="72" t="s">
        <v>106</v>
      </c>
      <c r="N114" s="25"/>
      <c r="O114" s="72"/>
      <c r="P114" s="72"/>
      <c r="Q114" s="72">
        <v>1200</v>
      </c>
      <c r="R114" s="72">
        <v>1200</v>
      </c>
      <c r="S114" s="72">
        <v>1200</v>
      </c>
      <c r="T114" s="72">
        <v>1080</v>
      </c>
      <c r="U114" s="72">
        <v>1080</v>
      </c>
      <c r="V114" s="72">
        <f t="shared" si="45"/>
        <v>5760</v>
      </c>
      <c r="W114" s="17"/>
      <c r="X114" s="17"/>
      <c r="Y114" s="32"/>
      <c r="Z114" s="73"/>
      <c r="AA114" s="73"/>
      <c r="AB114" s="73"/>
      <c r="AC114" s="73"/>
      <c r="AD114" s="73"/>
      <c r="AE114" s="74"/>
      <c r="AF114" s="75"/>
      <c r="AG114" s="76"/>
      <c r="AH114" s="77"/>
      <c r="AI114" s="73"/>
      <c r="AJ114" s="72"/>
    </row>
    <row r="115" spans="1:36" hidden="1" x14ac:dyDescent="0.25">
      <c r="A115" s="68">
        <v>115</v>
      </c>
      <c r="B115" s="69">
        <f t="shared" si="46"/>
        <v>48</v>
      </c>
      <c r="C115" s="69" t="s">
        <v>333</v>
      </c>
      <c r="D115" s="69"/>
      <c r="E115" s="69"/>
      <c r="F115" s="70" t="s">
        <v>171</v>
      </c>
      <c r="G115" s="29"/>
      <c r="H115" s="29"/>
      <c r="I115" s="29"/>
      <c r="J115" s="29"/>
      <c r="K115" s="29"/>
      <c r="L115" s="71" t="str">
        <f>HYPERLINK("\\mycloudpr2100\ПДО учет\ММЗ\Проект 12560\12560.280.02 Хомут (А4х3).pdf","12560.280.02")</f>
        <v>12560.280.02</v>
      </c>
      <c r="M115" s="72" t="s">
        <v>23</v>
      </c>
      <c r="N115" s="25"/>
      <c r="O115" s="72"/>
      <c r="P115" s="72"/>
      <c r="Q115" s="72">
        <v>200</v>
      </c>
      <c r="R115" s="72">
        <v>200</v>
      </c>
      <c r="S115" s="72">
        <v>200</v>
      </c>
      <c r="T115" s="72">
        <v>180</v>
      </c>
      <c r="U115" s="72">
        <v>180</v>
      </c>
      <c r="V115" s="72">
        <f t="shared" si="45"/>
        <v>960</v>
      </c>
      <c r="W115" s="17"/>
      <c r="X115" s="17"/>
      <c r="Y115" s="32"/>
      <c r="Z115" s="73"/>
      <c r="AA115" s="73"/>
      <c r="AB115" s="73"/>
      <c r="AC115" s="73"/>
      <c r="AD115" s="73"/>
      <c r="AE115" s="74"/>
      <c r="AF115" s="75"/>
      <c r="AG115" s="76"/>
      <c r="AH115" s="77"/>
      <c r="AI115" s="73"/>
      <c r="AJ115" s="72"/>
    </row>
    <row r="116" spans="1:36" x14ac:dyDescent="0.25">
      <c r="A116" s="68">
        <v>116</v>
      </c>
      <c r="B116" s="69">
        <f t="shared" si="46"/>
        <v>49</v>
      </c>
      <c r="C116" s="69"/>
      <c r="D116" s="69" t="s">
        <v>331</v>
      </c>
      <c r="E116" s="69"/>
      <c r="F116" s="70" t="s">
        <v>171</v>
      </c>
      <c r="G116" s="29"/>
      <c r="H116" s="29"/>
      <c r="I116" s="29"/>
      <c r="J116" s="29"/>
      <c r="K116" s="29"/>
      <c r="L116" s="71" t="str">
        <f>HYPERLINK("\\mycloudpr2100\ПДО учет\ММЗ\Проект 12560\12560.280.03 Болт (А4).pdf","12560.280.03")</f>
        <v>12560.280.03</v>
      </c>
      <c r="M116" s="72" t="s">
        <v>109</v>
      </c>
      <c r="N116" s="25"/>
      <c r="O116" s="72"/>
      <c r="P116" s="72"/>
      <c r="Q116" s="72">
        <v>800</v>
      </c>
      <c r="R116" s="72">
        <v>800</v>
      </c>
      <c r="S116" s="72">
        <v>800</v>
      </c>
      <c r="T116" s="72">
        <v>720</v>
      </c>
      <c r="U116" s="72">
        <v>720</v>
      </c>
      <c r="V116" s="72">
        <f t="shared" si="45"/>
        <v>3840</v>
      </c>
      <c r="W116" s="17"/>
      <c r="X116" s="17"/>
      <c r="Y116" s="32"/>
      <c r="Z116" s="73"/>
      <c r="AA116" s="73"/>
      <c r="AB116" s="73"/>
      <c r="AC116" s="73"/>
      <c r="AD116" s="73"/>
      <c r="AE116" s="74"/>
      <c r="AF116" s="75"/>
      <c r="AG116" s="76"/>
      <c r="AH116" s="77"/>
      <c r="AI116" s="73"/>
      <c r="AJ116" s="72"/>
    </row>
    <row r="117" spans="1:36" hidden="1" x14ac:dyDescent="0.25">
      <c r="A117" s="68">
        <v>117</v>
      </c>
      <c r="B117" s="69">
        <f t="shared" si="46"/>
        <v>50</v>
      </c>
      <c r="C117" s="69"/>
      <c r="D117" s="69"/>
      <c r="E117" s="69"/>
      <c r="F117" s="70" t="s">
        <v>171</v>
      </c>
      <c r="G117" s="29"/>
      <c r="H117" s="29"/>
      <c r="I117" s="29"/>
      <c r="J117" s="29"/>
      <c r="K117" s="29"/>
      <c r="L117" s="71" t="str">
        <f>HYPERLINK("\\mycloudpr2100\ПДО учет\ММЗ\Проект 12560\12560.280.04 Проставка (А4).pdf","12560.280.04")</f>
        <v>12560.280.04</v>
      </c>
      <c r="M117" s="72" t="s">
        <v>111</v>
      </c>
      <c r="N117" s="25"/>
      <c r="O117" s="72"/>
      <c r="P117" s="72"/>
      <c r="Q117" s="72">
        <v>200</v>
      </c>
      <c r="R117" s="72">
        <v>200</v>
      </c>
      <c r="S117" s="72">
        <v>200</v>
      </c>
      <c r="T117" s="72">
        <v>180</v>
      </c>
      <c r="U117" s="72">
        <v>180</v>
      </c>
      <c r="V117" s="72">
        <f t="shared" si="45"/>
        <v>960</v>
      </c>
      <c r="W117" s="17"/>
      <c r="X117" s="17"/>
      <c r="Y117" s="32"/>
      <c r="Z117" s="73"/>
      <c r="AA117" s="73"/>
      <c r="AB117" s="73"/>
      <c r="AC117" s="73"/>
      <c r="AD117" s="73"/>
      <c r="AE117" s="74"/>
      <c r="AF117" s="75"/>
      <c r="AG117" s="76"/>
      <c r="AH117" s="77"/>
      <c r="AI117" s="73"/>
      <c r="AJ117" s="72"/>
    </row>
    <row r="118" spans="1:36" hidden="1" x14ac:dyDescent="0.25">
      <c r="A118" s="68">
        <v>118</v>
      </c>
      <c r="B118" s="69">
        <f t="shared" si="46"/>
        <v>51</v>
      </c>
      <c r="C118" s="69"/>
      <c r="D118" s="69"/>
      <c r="E118" s="69"/>
      <c r="F118" s="70" t="s">
        <v>171</v>
      </c>
      <c r="G118" s="29"/>
      <c r="H118" s="29"/>
      <c r="I118" s="29"/>
      <c r="J118" s="29"/>
      <c r="K118" s="29"/>
      <c r="L118" s="71" t="str">
        <f>HYPERLINK("\\mycloudpr2100\ПДО учет\ММЗ\Проект 12560\12560.280.05 Проставка (А4).pdf","12560.280.05")</f>
        <v>12560.280.05</v>
      </c>
      <c r="M118" s="72" t="s">
        <v>111</v>
      </c>
      <c r="N118" s="25"/>
      <c r="O118" s="72"/>
      <c r="P118" s="72"/>
      <c r="Q118" s="72">
        <v>200</v>
      </c>
      <c r="R118" s="72">
        <v>200</v>
      </c>
      <c r="S118" s="72">
        <v>200</v>
      </c>
      <c r="T118" s="72">
        <v>180</v>
      </c>
      <c r="U118" s="72">
        <v>180</v>
      </c>
      <c r="V118" s="72">
        <f t="shared" si="45"/>
        <v>960</v>
      </c>
      <c r="W118" s="17"/>
      <c r="X118" s="17"/>
      <c r="Y118" s="32"/>
      <c r="Z118" s="73"/>
      <c r="AA118" s="73"/>
      <c r="AB118" s="73"/>
      <c r="AC118" s="73"/>
      <c r="AD118" s="73"/>
      <c r="AE118" s="74"/>
      <c r="AF118" s="75"/>
      <c r="AG118" s="76"/>
      <c r="AH118" s="77"/>
      <c r="AI118" s="73"/>
      <c r="AJ118" s="72"/>
    </row>
    <row r="119" spans="1:36" hidden="1" x14ac:dyDescent="0.25">
      <c r="A119" s="68">
        <v>119</v>
      </c>
      <c r="B119" s="69">
        <f t="shared" si="46"/>
        <v>52</v>
      </c>
      <c r="C119" s="69" t="s">
        <v>333</v>
      </c>
      <c r="D119" s="69"/>
      <c r="E119" s="69"/>
      <c r="F119" s="70" t="s">
        <v>171</v>
      </c>
      <c r="G119" s="29"/>
      <c r="H119" s="29"/>
      <c r="I119" s="29"/>
      <c r="J119" s="29"/>
      <c r="K119" s="29"/>
      <c r="L119" s="71" t="str">
        <f>HYPERLINK("\\mycloudpr2100\ПДО учет\ММЗ\Проект 12560\12560.280.08 Ограничитель (А4х4).pdf","12560.280.08")</f>
        <v>12560.280.08</v>
      </c>
      <c r="M119" s="72" t="s">
        <v>114</v>
      </c>
      <c r="N119" s="25"/>
      <c r="O119" s="72"/>
      <c r="P119" s="72"/>
      <c r="Q119" s="72">
        <v>200</v>
      </c>
      <c r="R119" s="72">
        <v>200</v>
      </c>
      <c r="S119" s="72">
        <v>200</v>
      </c>
      <c r="T119" s="72">
        <v>180</v>
      </c>
      <c r="U119" s="72">
        <v>180</v>
      </c>
      <c r="V119" s="72">
        <f t="shared" si="45"/>
        <v>960</v>
      </c>
      <c r="W119" s="17"/>
      <c r="X119" s="17"/>
      <c r="Y119" s="32"/>
      <c r="Z119" s="73"/>
      <c r="AA119" s="73"/>
      <c r="AB119" s="73"/>
      <c r="AC119" s="73"/>
      <c r="AD119" s="73"/>
      <c r="AE119" s="74"/>
      <c r="AF119" s="75"/>
      <c r="AG119" s="76"/>
      <c r="AH119" s="77"/>
      <c r="AI119" s="73"/>
      <c r="AJ119" s="72"/>
    </row>
    <row r="120" spans="1:36" hidden="1" x14ac:dyDescent="0.25">
      <c r="A120" s="51">
        <v>120</v>
      </c>
      <c r="B120" s="25"/>
      <c r="C120" s="25"/>
      <c r="D120" s="25"/>
      <c r="E120" s="25"/>
      <c r="F120" s="28"/>
      <c r="G120" s="29"/>
      <c r="H120" s="29"/>
      <c r="I120" s="29"/>
      <c r="J120" s="29"/>
      <c r="K120" s="29"/>
      <c r="L120" s="49"/>
      <c r="M120" s="49"/>
      <c r="N120" s="50"/>
      <c r="O120" s="50"/>
      <c r="P120" s="50"/>
      <c r="Q120" s="25"/>
      <c r="R120" s="25"/>
      <c r="S120" s="25"/>
      <c r="T120" s="25"/>
      <c r="U120" s="25"/>
      <c r="V120" s="25"/>
      <c r="W120" s="31"/>
      <c r="X120" s="31"/>
      <c r="Y120" s="32"/>
      <c r="Z120" s="33"/>
      <c r="AA120" s="33"/>
      <c r="AB120" s="33"/>
      <c r="AC120" s="33"/>
      <c r="AD120" s="33"/>
      <c r="AE120" s="34"/>
      <c r="AF120" s="35"/>
      <c r="AG120" s="36"/>
      <c r="AH120" s="37"/>
      <c r="AI120" s="33"/>
      <c r="AJ120" s="38"/>
    </row>
    <row r="121" spans="1:36" hidden="1" x14ac:dyDescent="0.25">
      <c r="A121" s="68">
        <v>121</v>
      </c>
      <c r="B121" s="69">
        <v>58</v>
      </c>
      <c r="C121" s="69"/>
      <c r="D121" s="69"/>
      <c r="E121" s="69"/>
      <c r="F121" s="70" t="s">
        <v>171</v>
      </c>
      <c r="G121" s="29"/>
      <c r="H121" s="29"/>
      <c r="I121" s="29"/>
      <c r="J121" s="29"/>
      <c r="K121" s="29"/>
      <c r="L121" s="71" t="str">
        <f>HYPERLINK("\\mycloudpr2100\ПДО учет\ММЗ\Проект 12560\12560.295.01 Кронштейн двигателя (А4х3).pdf","12560.295.01")</f>
        <v>12560.295.01</v>
      </c>
      <c r="M121" s="72" t="s">
        <v>145</v>
      </c>
      <c r="N121" s="25"/>
      <c r="O121" s="72"/>
      <c r="P121" s="72"/>
      <c r="Q121" s="72">
        <v>200</v>
      </c>
      <c r="R121" s="72">
        <v>200</v>
      </c>
      <c r="S121" s="72">
        <v>200</v>
      </c>
      <c r="T121" s="72">
        <v>180</v>
      </c>
      <c r="U121" s="72">
        <v>180</v>
      </c>
      <c r="V121" s="72">
        <f t="shared" ref="V121:V139" si="47">Q121+R121+S121+T121+U121</f>
        <v>960</v>
      </c>
      <c r="W121" s="17"/>
      <c r="X121" s="17"/>
      <c r="Y121" s="32"/>
      <c r="Z121" s="73"/>
      <c r="AA121" s="73"/>
      <c r="AB121" s="73"/>
      <c r="AC121" s="73"/>
      <c r="AD121" s="73"/>
      <c r="AE121" s="74"/>
      <c r="AF121" s="75"/>
      <c r="AG121" s="76"/>
      <c r="AH121" s="77"/>
      <c r="AI121" s="73"/>
      <c r="AJ121" s="72"/>
    </row>
    <row r="122" spans="1:36" hidden="1" x14ac:dyDescent="0.25">
      <c r="A122" s="68">
        <v>122</v>
      </c>
      <c r="B122" s="69">
        <f t="shared" ref="B122:B139" si="48">B121+1</f>
        <v>59</v>
      </c>
      <c r="C122" s="69" t="s">
        <v>333</v>
      </c>
      <c r="D122" s="69"/>
      <c r="E122" s="69"/>
      <c r="F122" s="70" t="s">
        <v>171</v>
      </c>
      <c r="G122" s="29"/>
      <c r="H122" s="29"/>
      <c r="I122" s="29"/>
      <c r="J122" s="29"/>
      <c r="K122" s="29"/>
      <c r="L122" s="71" t="str">
        <f>HYPERLINK("\\mycloudpr2100\ПДО учет\ММЗ\Проект 12560\12560.295.01 Кронштейн двигателя (А4х3).pdf","12560.295.01-01")</f>
        <v>12560.295.01-01</v>
      </c>
      <c r="M122" s="72" t="s">
        <v>145</v>
      </c>
      <c r="N122" s="25"/>
      <c r="O122" s="72"/>
      <c r="P122" s="72"/>
      <c r="Q122" s="72">
        <v>200</v>
      </c>
      <c r="R122" s="72">
        <v>200</v>
      </c>
      <c r="S122" s="72">
        <v>200</v>
      </c>
      <c r="T122" s="72">
        <v>180</v>
      </c>
      <c r="U122" s="72">
        <v>180</v>
      </c>
      <c r="V122" s="72">
        <f t="shared" si="47"/>
        <v>960</v>
      </c>
      <c r="W122" s="17"/>
      <c r="X122" s="17"/>
      <c r="Y122" s="32"/>
      <c r="Z122" s="73"/>
      <c r="AA122" s="73"/>
      <c r="AB122" s="73"/>
      <c r="AC122" s="73"/>
      <c r="AD122" s="73"/>
      <c r="AE122" s="74"/>
      <c r="AF122" s="75"/>
      <c r="AG122" s="76"/>
      <c r="AH122" s="77"/>
      <c r="AI122" s="73"/>
      <c r="AJ122" s="72"/>
    </row>
    <row r="123" spans="1:36" hidden="1" x14ac:dyDescent="0.25">
      <c r="A123" s="68">
        <v>123</v>
      </c>
      <c r="B123" s="69">
        <f t="shared" si="48"/>
        <v>60</v>
      </c>
      <c r="C123" s="69" t="s">
        <v>333</v>
      </c>
      <c r="D123" s="69"/>
      <c r="E123" s="69"/>
      <c r="F123" s="70" t="s">
        <v>171</v>
      </c>
      <c r="G123" s="29"/>
      <c r="H123" s="29"/>
      <c r="I123" s="29"/>
      <c r="J123" s="29"/>
      <c r="K123" s="29"/>
      <c r="L123" s="71" t="str">
        <f>HYPERLINK("\\mycloudpr2100\ПДО учет\ММЗ\Проект 12560\12560.298.07 Рамка центральная (А3).pdf","12560.298.07")</f>
        <v>12560.298.07</v>
      </c>
      <c r="M123" s="72" t="s">
        <v>148</v>
      </c>
      <c r="N123" s="25"/>
      <c r="O123" s="72"/>
      <c r="P123" s="72"/>
      <c r="Q123" s="72">
        <v>200</v>
      </c>
      <c r="R123" s="72">
        <v>200</v>
      </c>
      <c r="S123" s="72">
        <v>200</v>
      </c>
      <c r="T123" s="72">
        <v>180</v>
      </c>
      <c r="U123" s="72">
        <v>180</v>
      </c>
      <c r="V123" s="72">
        <f t="shared" si="47"/>
        <v>960</v>
      </c>
      <c r="W123" s="17"/>
      <c r="X123" s="17"/>
      <c r="Y123" s="32"/>
      <c r="Z123" s="73"/>
      <c r="AA123" s="73"/>
      <c r="AB123" s="73"/>
      <c r="AC123" s="73"/>
      <c r="AD123" s="73"/>
      <c r="AE123" s="74"/>
      <c r="AF123" s="75"/>
      <c r="AG123" s="76"/>
      <c r="AH123" s="77"/>
      <c r="AI123" s="73"/>
      <c r="AJ123" s="72"/>
    </row>
    <row r="124" spans="1:36" hidden="1" x14ac:dyDescent="0.25">
      <c r="A124" s="68">
        <v>124</v>
      </c>
      <c r="B124" s="69">
        <f t="shared" si="48"/>
        <v>61</v>
      </c>
      <c r="C124" s="69" t="s">
        <v>333</v>
      </c>
      <c r="D124" s="69"/>
      <c r="E124" s="69"/>
      <c r="F124" s="70" t="s">
        <v>171</v>
      </c>
      <c r="G124" s="29"/>
      <c r="H124" s="29"/>
      <c r="I124" s="29"/>
      <c r="J124" s="29"/>
      <c r="K124" s="29"/>
      <c r="L124" s="71" t="str">
        <f>HYPERLINK("\\mycloudpr2100\ПДО учет\ММЗ\Проект 12560\12560.298.08 Рамка боковая (А3).pdf","12560.298.08")</f>
        <v>12560.298.08</v>
      </c>
      <c r="M124" s="72" t="s">
        <v>150</v>
      </c>
      <c r="N124" s="25"/>
      <c r="O124" s="72"/>
      <c r="P124" s="72"/>
      <c r="Q124" s="72">
        <v>400</v>
      </c>
      <c r="R124" s="72">
        <v>400</v>
      </c>
      <c r="S124" s="72">
        <v>400</v>
      </c>
      <c r="T124" s="72">
        <v>360</v>
      </c>
      <c r="U124" s="72">
        <v>360</v>
      </c>
      <c r="V124" s="72">
        <f t="shared" si="47"/>
        <v>1920</v>
      </c>
      <c r="W124" s="17"/>
      <c r="X124" s="17"/>
      <c r="Y124" s="32"/>
      <c r="Z124" s="73"/>
      <c r="AA124" s="73"/>
      <c r="AB124" s="73"/>
      <c r="AC124" s="73"/>
      <c r="AD124" s="73"/>
      <c r="AE124" s="74"/>
      <c r="AF124" s="75"/>
      <c r="AG124" s="76"/>
      <c r="AH124" s="77"/>
      <c r="AI124" s="73"/>
      <c r="AJ124" s="72"/>
    </row>
    <row r="125" spans="1:36" hidden="1" x14ac:dyDescent="0.25">
      <c r="A125" s="68">
        <v>125</v>
      </c>
      <c r="B125" s="69">
        <f t="shared" si="48"/>
        <v>62</v>
      </c>
      <c r="C125" s="69"/>
      <c r="D125" s="69"/>
      <c r="E125" s="69"/>
      <c r="F125" s="70" t="s">
        <v>171</v>
      </c>
      <c r="G125" s="29"/>
      <c r="H125" s="29"/>
      <c r="I125" s="29"/>
      <c r="J125" s="29"/>
      <c r="K125" s="29"/>
      <c r="L125" s="71" t="str">
        <f>HYPERLINK("\\mycloudpr2100\ПДО учет\ММЗ\Проект 12560\12560.320.02 Кронштейн разъемов двигателя (А2).pdf","12560.320.02")</f>
        <v>12560.320.02</v>
      </c>
      <c r="M125" s="72" t="s">
        <v>152</v>
      </c>
      <c r="N125" s="25"/>
      <c r="O125" s="72"/>
      <c r="P125" s="72"/>
      <c r="Q125" s="72">
        <v>200</v>
      </c>
      <c r="R125" s="72">
        <v>200</v>
      </c>
      <c r="S125" s="72">
        <v>200</v>
      </c>
      <c r="T125" s="72">
        <v>180</v>
      </c>
      <c r="U125" s="72">
        <v>180</v>
      </c>
      <c r="V125" s="72">
        <f t="shared" si="47"/>
        <v>960</v>
      </c>
      <c r="W125" s="17"/>
      <c r="X125" s="17"/>
      <c r="Y125" s="32"/>
      <c r="Z125" s="73"/>
      <c r="AA125" s="73"/>
      <c r="AB125" s="73"/>
      <c r="AC125" s="73"/>
      <c r="AD125" s="73"/>
      <c r="AE125" s="74"/>
      <c r="AF125" s="75"/>
      <c r="AG125" s="76"/>
      <c r="AH125" s="77"/>
      <c r="AI125" s="73"/>
      <c r="AJ125" s="72"/>
    </row>
    <row r="126" spans="1:36" hidden="1" x14ac:dyDescent="0.25">
      <c r="A126" s="68">
        <v>126</v>
      </c>
      <c r="B126" s="69">
        <f t="shared" si="48"/>
        <v>63</v>
      </c>
      <c r="C126" s="69"/>
      <c r="D126" s="69"/>
      <c r="E126" s="69"/>
      <c r="F126" s="70" t="s">
        <v>171</v>
      </c>
      <c r="G126" s="29"/>
      <c r="H126" s="29"/>
      <c r="I126" s="29"/>
      <c r="J126" s="29"/>
      <c r="K126" s="29"/>
      <c r="L126" s="71" t="str">
        <f>HYPERLINK("\\mycloudpr2100\ПДО учет\ММЗ\Проект 12560\12560.320.03 Кронштейн разьема привода (А3).pdf","12560.320.03")</f>
        <v>12560.320.03</v>
      </c>
      <c r="M126" s="72" t="s">
        <v>154</v>
      </c>
      <c r="N126" s="25"/>
      <c r="O126" s="72"/>
      <c r="P126" s="72"/>
      <c r="Q126" s="72">
        <v>200</v>
      </c>
      <c r="R126" s="72">
        <v>200</v>
      </c>
      <c r="S126" s="72">
        <v>200</v>
      </c>
      <c r="T126" s="72">
        <v>180</v>
      </c>
      <c r="U126" s="72">
        <v>180</v>
      </c>
      <c r="V126" s="72">
        <f t="shared" si="47"/>
        <v>960</v>
      </c>
      <c r="W126" s="17"/>
      <c r="X126" s="17"/>
      <c r="Y126" s="32"/>
      <c r="Z126" s="73"/>
      <c r="AA126" s="73"/>
      <c r="AB126" s="73"/>
      <c r="AC126" s="73"/>
      <c r="AD126" s="73"/>
      <c r="AE126" s="74"/>
      <c r="AF126" s="75"/>
      <c r="AG126" s="76"/>
      <c r="AH126" s="77"/>
      <c r="AI126" s="73"/>
      <c r="AJ126" s="72"/>
    </row>
    <row r="127" spans="1:36" hidden="1" x14ac:dyDescent="0.25">
      <c r="A127" s="68">
        <v>127</v>
      </c>
      <c r="B127" s="69">
        <f t="shared" si="48"/>
        <v>64</v>
      </c>
      <c r="C127" s="69" t="s">
        <v>333</v>
      </c>
      <c r="D127" s="69"/>
      <c r="E127" s="69"/>
      <c r="F127" s="70" t="s">
        <v>171</v>
      </c>
      <c r="G127" s="29"/>
      <c r="H127" s="29"/>
      <c r="I127" s="29"/>
      <c r="J127" s="29"/>
      <c r="K127" s="29"/>
      <c r="L127" s="71" t="str">
        <f>HYPERLINK("\\mycloudpr2100\ПДО учет\ММЗ\Проект 12560\12560.320.07 Кронштейн (А3).pdf","12560.320.07")</f>
        <v>12560.320.07</v>
      </c>
      <c r="M127" s="72" t="s">
        <v>32</v>
      </c>
      <c r="N127" s="25"/>
      <c r="O127" s="72"/>
      <c r="P127" s="72"/>
      <c r="Q127" s="72">
        <v>200</v>
      </c>
      <c r="R127" s="72">
        <v>200</v>
      </c>
      <c r="S127" s="72">
        <v>200</v>
      </c>
      <c r="T127" s="72">
        <v>180</v>
      </c>
      <c r="U127" s="72">
        <v>180</v>
      </c>
      <c r="V127" s="72">
        <f t="shared" si="47"/>
        <v>960</v>
      </c>
      <c r="W127" s="17"/>
      <c r="X127" s="17"/>
      <c r="Y127" s="32"/>
      <c r="Z127" s="73"/>
      <c r="AA127" s="73"/>
      <c r="AB127" s="73"/>
      <c r="AC127" s="73"/>
      <c r="AD127" s="73"/>
      <c r="AE127" s="74"/>
      <c r="AF127" s="75"/>
      <c r="AG127" s="76"/>
      <c r="AH127" s="77"/>
      <c r="AI127" s="73"/>
      <c r="AJ127" s="72"/>
    </row>
    <row r="128" spans="1:36" hidden="1" x14ac:dyDescent="0.25">
      <c r="A128" s="68">
        <v>128</v>
      </c>
      <c r="B128" s="69">
        <f t="shared" si="48"/>
        <v>65</v>
      </c>
      <c r="C128" s="69"/>
      <c r="D128" s="69"/>
      <c r="E128" s="69"/>
      <c r="F128" s="70" t="s">
        <v>171</v>
      </c>
      <c r="G128" s="29"/>
      <c r="H128" s="29"/>
      <c r="I128" s="29"/>
      <c r="J128" s="29"/>
      <c r="K128" s="29"/>
      <c r="L128" s="71" t="str">
        <f>HYPERLINK("\\mycloudpr2100\ПДО учет\ММЗ\Проект 12560\12560.338.01 Пластина (А3).pdf","12560.338.01")</f>
        <v>12560.338.01</v>
      </c>
      <c r="M128" s="72" t="s">
        <v>77</v>
      </c>
      <c r="N128" s="25"/>
      <c r="O128" s="72"/>
      <c r="P128" s="72"/>
      <c r="Q128" s="72">
        <v>200</v>
      </c>
      <c r="R128" s="72">
        <v>200</v>
      </c>
      <c r="S128" s="72">
        <v>200</v>
      </c>
      <c r="T128" s="72">
        <v>180</v>
      </c>
      <c r="U128" s="72">
        <v>180</v>
      </c>
      <c r="V128" s="72">
        <f t="shared" si="47"/>
        <v>960</v>
      </c>
      <c r="W128" s="17"/>
      <c r="X128" s="17"/>
      <c r="Y128" s="32"/>
      <c r="Z128" s="73"/>
      <c r="AA128" s="73"/>
      <c r="AB128" s="73"/>
      <c r="AC128" s="73"/>
      <c r="AD128" s="73"/>
      <c r="AE128" s="74"/>
      <c r="AF128" s="75"/>
      <c r="AG128" s="76"/>
      <c r="AH128" s="77"/>
      <c r="AI128" s="73"/>
      <c r="AJ128" s="72"/>
    </row>
    <row r="129" spans="1:36" hidden="1" x14ac:dyDescent="0.25">
      <c r="A129" s="68">
        <v>129</v>
      </c>
      <c r="B129" s="69">
        <f t="shared" si="48"/>
        <v>66</v>
      </c>
      <c r="C129" s="69"/>
      <c r="D129" s="69"/>
      <c r="E129" s="69"/>
      <c r="F129" s="70" t="s">
        <v>171</v>
      </c>
      <c r="G129" s="29"/>
      <c r="H129" s="29"/>
      <c r="I129" s="29"/>
      <c r="J129" s="29"/>
      <c r="K129" s="29"/>
      <c r="L129" s="71" t="str">
        <f>HYPERLINK("\\mycloudpr2100\ПДО учет\ММЗ\Проект 12560\12560.340.03 Кольцо (А4).pdf","12560.340.03")</f>
        <v>12560.340.03</v>
      </c>
      <c r="M129" s="72" t="s">
        <v>132</v>
      </c>
      <c r="N129" s="25"/>
      <c r="O129" s="72"/>
      <c r="P129" s="72"/>
      <c r="Q129" s="72">
        <v>200</v>
      </c>
      <c r="R129" s="72">
        <v>200</v>
      </c>
      <c r="S129" s="72">
        <v>200</v>
      </c>
      <c r="T129" s="72">
        <v>180</v>
      </c>
      <c r="U129" s="72">
        <v>180</v>
      </c>
      <c r="V129" s="72">
        <f t="shared" si="47"/>
        <v>960</v>
      </c>
      <c r="W129" s="17"/>
      <c r="X129" s="17"/>
      <c r="Y129" s="32"/>
      <c r="Z129" s="73"/>
      <c r="AA129" s="73"/>
      <c r="AB129" s="73"/>
      <c r="AC129" s="73"/>
      <c r="AD129" s="73"/>
      <c r="AE129" s="74"/>
      <c r="AF129" s="75"/>
      <c r="AG129" s="76"/>
      <c r="AH129" s="77"/>
      <c r="AI129" s="73"/>
      <c r="AJ129" s="72"/>
    </row>
    <row r="130" spans="1:36" hidden="1" x14ac:dyDescent="0.25">
      <c r="A130" s="68">
        <v>130</v>
      </c>
      <c r="B130" s="69">
        <f t="shared" si="48"/>
        <v>67</v>
      </c>
      <c r="C130" s="69"/>
      <c r="D130" s="69"/>
      <c r="E130" s="69"/>
      <c r="F130" s="70" t="s">
        <v>171</v>
      </c>
      <c r="G130" s="29"/>
      <c r="H130" s="29"/>
      <c r="I130" s="29"/>
      <c r="J130" s="29"/>
      <c r="K130" s="29"/>
      <c r="L130" s="71" t="str">
        <f>HYPERLINK("\\mycloudpr2100\ПДО учет\ММЗ\Проект 12560\12560.340.04 Шайба (А4).pdf","12560.340.04")</f>
        <v>12560.340.04</v>
      </c>
      <c r="M130" s="72" t="s">
        <v>106</v>
      </c>
      <c r="N130" s="25"/>
      <c r="O130" s="72"/>
      <c r="P130" s="72"/>
      <c r="Q130" s="72">
        <v>200</v>
      </c>
      <c r="R130" s="72">
        <v>200</v>
      </c>
      <c r="S130" s="72">
        <v>200</v>
      </c>
      <c r="T130" s="72">
        <v>180</v>
      </c>
      <c r="U130" s="72">
        <v>180</v>
      </c>
      <c r="V130" s="72">
        <f t="shared" si="47"/>
        <v>960</v>
      </c>
      <c r="W130" s="17"/>
      <c r="X130" s="17"/>
      <c r="Y130" s="32"/>
      <c r="Z130" s="73"/>
      <c r="AA130" s="73"/>
      <c r="AB130" s="73"/>
      <c r="AC130" s="73"/>
      <c r="AD130" s="73"/>
      <c r="AE130" s="74"/>
      <c r="AF130" s="75"/>
      <c r="AG130" s="76"/>
      <c r="AH130" s="77"/>
      <c r="AI130" s="73"/>
      <c r="AJ130" s="72"/>
    </row>
    <row r="131" spans="1:36" x14ac:dyDescent="0.25">
      <c r="A131" s="68">
        <v>131</v>
      </c>
      <c r="B131" s="69">
        <f t="shared" si="48"/>
        <v>68</v>
      </c>
      <c r="C131" s="69"/>
      <c r="D131" s="69" t="s">
        <v>331</v>
      </c>
      <c r="E131" s="69"/>
      <c r="F131" s="70" t="s">
        <v>171</v>
      </c>
      <c r="G131" s="29"/>
      <c r="H131" s="29"/>
      <c r="I131" s="29"/>
      <c r="J131" s="29"/>
      <c r="K131" s="29"/>
      <c r="L131" s="71" t="str">
        <f>HYPERLINK("\\mycloudpr2100\ПДО учет\ММЗ\Проект 12560\12560.370.05 Труба (А3).pdf","12560.370.05")</f>
        <v>12560.370.05</v>
      </c>
      <c r="M131" s="72" t="s">
        <v>160</v>
      </c>
      <c r="N131" s="25"/>
      <c r="O131" s="72"/>
      <c r="P131" s="72"/>
      <c r="Q131" s="72">
        <v>200</v>
      </c>
      <c r="R131" s="72">
        <v>200</v>
      </c>
      <c r="S131" s="72">
        <v>200</v>
      </c>
      <c r="T131" s="72">
        <v>180</v>
      </c>
      <c r="U131" s="72">
        <v>180</v>
      </c>
      <c r="V131" s="72">
        <f t="shared" si="47"/>
        <v>960</v>
      </c>
      <c r="W131" s="17"/>
      <c r="X131" s="17"/>
      <c r="Y131" s="32"/>
      <c r="Z131" s="73"/>
      <c r="AA131" s="73"/>
      <c r="AB131" s="73"/>
      <c r="AC131" s="73"/>
      <c r="AD131" s="73"/>
      <c r="AE131" s="74"/>
      <c r="AF131" s="75"/>
      <c r="AG131" s="76"/>
      <c r="AH131" s="77"/>
      <c r="AI131" s="73"/>
      <c r="AJ131" s="72"/>
    </row>
    <row r="132" spans="1:36" hidden="1" x14ac:dyDescent="0.25">
      <c r="A132" s="68">
        <v>132</v>
      </c>
      <c r="B132" s="69">
        <f t="shared" si="48"/>
        <v>69</v>
      </c>
      <c r="C132" s="69" t="s">
        <v>333</v>
      </c>
      <c r="D132" s="69"/>
      <c r="E132" s="69"/>
      <c r="F132" s="70" t="s">
        <v>171</v>
      </c>
      <c r="G132" s="29"/>
      <c r="H132" s="29"/>
      <c r="I132" s="29"/>
      <c r="J132" s="29"/>
      <c r="K132" s="29"/>
      <c r="L132" s="71" t="str">
        <f>HYPERLINK("\\mycloudpr2100\ПДО учет\ММЗ\Проект 12560\12560.370.06 Кронштейн (А3).pdf","12560.370.06")</f>
        <v>12560.370.06</v>
      </c>
      <c r="M132" s="72" t="s">
        <v>32</v>
      </c>
      <c r="N132" s="25"/>
      <c r="O132" s="72"/>
      <c r="P132" s="72"/>
      <c r="Q132" s="72">
        <v>200</v>
      </c>
      <c r="R132" s="72">
        <v>200</v>
      </c>
      <c r="S132" s="72">
        <v>200</v>
      </c>
      <c r="T132" s="72">
        <v>180</v>
      </c>
      <c r="U132" s="72">
        <v>180</v>
      </c>
      <c r="V132" s="72">
        <f t="shared" si="47"/>
        <v>960</v>
      </c>
      <c r="W132" s="17"/>
      <c r="X132" s="17"/>
      <c r="Y132" s="32"/>
      <c r="Z132" s="73"/>
      <c r="AA132" s="73"/>
      <c r="AB132" s="73"/>
      <c r="AC132" s="73"/>
      <c r="AD132" s="73"/>
      <c r="AE132" s="74"/>
      <c r="AF132" s="75"/>
      <c r="AG132" s="76"/>
      <c r="AH132" s="77"/>
      <c r="AI132" s="73"/>
      <c r="AJ132" s="72"/>
    </row>
    <row r="133" spans="1:36" hidden="1" x14ac:dyDescent="0.25">
      <c r="A133" s="68">
        <v>133</v>
      </c>
      <c r="B133" s="69">
        <f t="shared" si="48"/>
        <v>70</v>
      </c>
      <c r="C133" s="69" t="s">
        <v>333</v>
      </c>
      <c r="D133" s="69"/>
      <c r="E133" s="69"/>
      <c r="F133" s="70" t="s">
        <v>171</v>
      </c>
      <c r="G133" s="29"/>
      <c r="H133" s="29"/>
      <c r="I133" s="29"/>
      <c r="J133" s="29"/>
      <c r="K133" s="29"/>
      <c r="L133" s="71" t="str">
        <f>HYPERLINK("\\mycloudpr2100\ПДО учет\ММЗ\Проект 12560\12560.370.06 Кронштейн (А3).pdf","12560.370.06-01")</f>
        <v>12560.370.06-01</v>
      </c>
      <c r="M133" s="72" t="s">
        <v>32</v>
      </c>
      <c r="N133" s="25"/>
      <c r="O133" s="72"/>
      <c r="P133" s="72"/>
      <c r="Q133" s="72">
        <v>200</v>
      </c>
      <c r="R133" s="72">
        <v>200</v>
      </c>
      <c r="S133" s="72">
        <v>200</v>
      </c>
      <c r="T133" s="72">
        <v>180</v>
      </c>
      <c r="U133" s="72">
        <v>180</v>
      </c>
      <c r="V133" s="72">
        <f t="shared" si="47"/>
        <v>960</v>
      </c>
      <c r="W133" s="17"/>
      <c r="X133" s="17"/>
      <c r="Y133" s="32"/>
      <c r="Z133" s="73"/>
      <c r="AA133" s="73"/>
      <c r="AB133" s="73"/>
      <c r="AC133" s="73"/>
      <c r="AD133" s="73"/>
      <c r="AE133" s="74"/>
      <c r="AF133" s="75"/>
      <c r="AG133" s="76"/>
      <c r="AH133" s="77"/>
      <c r="AI133" s="73"/>
      <c r="AJ133" s="72"/>
    </row>
    <row r="134" spans="1:36" hidden="1" x14ac:dyDescent="0.25">
      <c r="A134" s="68">
        <v>134</v>
      </c>
      <c r="B134" s="69">
        <f t="shared" si="48"/>
        <v>71</v>
      </c>
      <c r="C134" s="69"/>
      <c r="D134" s="69"/>
      <c r="E134" s="69"/>
      <c r="F134" s="70" t="s">
        <v>171</v>
      </c>
      <c r="G134" s="29"/>
      <c r="H134" s="29"/>
      <c r="I134" s="29"/>
      <c r="J134" s="29"/>
      <c r="K134" s="29"/>
      <c r="L134" s="71" t="str">
        <f>HYPERLINK("\\mycloudpr2100\ПДО учет\ММЗ\Проект 12560\12560.370.07 Хомут (А3).pdf","12560.370.07")</f>
        <v>12560.370.07</v>
      </c>
      <c r="M134" s="72" t="s">
        <v>23</v>
      </c>
      <c r="N134" s="25"/>
      <c r="O134" s="72"/>
      <c r="P134" s="72"/>
      <c r="Q134" s="72">
        <v>200</v>
      </c>
      <c r="R134" s="72">
        <v>200</v>
      </c>
      <c r="S134" s="72">
        <v>200</v>
      </c>
      <c r="T134" s="72">
        <v>180</v>
      </c>
      <c r="U134" s="72">
        <v>180</v>
      </c>
      <c r="V134" s="72">
        <f t="shared" si="47"/>
        <v>960</v>
      </c>
      <c r="W134" s="17"/>
      <c r="X134" s="17"/>
      <c r="Y134" s="32"/>
      <c r="Z134" s="73"/>
      <c r="AA134" s="73"/>
      <c r="AB134" s="73"/>
      <c r="AC134" s="73"/>
      <c r="AD134" s="73"/>
      <c r="AE134" s="74"/>
      <c r="AF134" s="75"/>
      <c r="AG134" s="76"/>
      <c r="AH134" s="77"/>
      <c r="AI134" s="73"/>
      <c r="AJ134" s="72"/>
    </row>
    <row r="135" spans="1:36" x14ac:dyDescent="0.25">
      <c r="A135" s="68">
        <v>135</v>
      </c>
      <c r="B135" s="69">
        <f t="shared" si="48"/>
        <v>72</v>
      </c>
      <c r="C135" s="69"/>
      <c r="D135" s="69" t="s">
        <v>331</v>
      </c>
      <c r="E135" s="69"/>
      <c r="F135" s="70" t="s">
        <v>171</v>
      </c>
      <c r="G135" s="29"/>
      <c r="H135" s="29"/>
      <c r="I135" s="29"/>
      <c r="J135" s="29"/>
      <c r="K135" s="29"/>
      <c r="L135" s="71" t="str">
        <f>HYPERLINK("\\mycloudpr2100\ПДО учет\ММЗ\Проект 12560\12560.370.15 Втулка дроссельная (А4).pdf","12560.370.15")</f>
        <v>12560.370.15</v>
      </c>
      <c r="M135" s="72" t="s">
        <v>165</v>
      </c>
      <c r="N135" s="25"/>
      <c r="O135" s="72"/>
      <c r="P135" s="72"/>
      <c r="Q135" s="72">
        <v>200</v>
      </c>
      <c r="R135" s="72">
        <v>200</v>
      </c>
      <c r="S135" s="72">
        <v>200</v>
      </c>
      <c r="T135" s="72">
        <v>180</v>
      </c>
      <c r="U135" s="72">
        <v>180</v>
      </c>
      <c r="V135" s="72">
        <f t="shared" si="47"/>
        <v>960</v>
      </c>
      <c r="W135" s="17"/>
      <c r="X135" s="17"/>
      <c r="Y135" s="32"/>
      <c r="Z135" s="73"/>
      <c r="AA135" s="73"/>
      <c r="AB135" s="73"/>
      <c r="AC135" s="73"/>
      <c r="AD135" s="73"/>
      <c r="AE135" s="74"/>
      <c r="AF135" s="75"/>
      <c r="AG135" s="76"/>
      <c r="AH135" s="77"/>
      <c r="AI135" s="73"/>
      <c r="AJ135" s="72"/>
    </row>
    <row r="136" spans="1:36" hidden="1" x14ac:dyDescent="0.25">
      <c r="A136" s="68">
        <v>136</v>
      </c>
      <c r="B136" s="69">
        <f t="shared" si="48"/>
        <v>73</v>
      </c>
      <c r="C136" s="69"/>
      <c r="D136" s="69"/>
      <c r="E136" s="69"/>
      <c r="F136" s="70" t="s">
        <v>171</v>
      </c>
      <c r="G136" s="29"/>
      <c r="H136" s="29"/>
      <c r="I136" s="29"/>
      <c r="J136" s="29"/>
      <c r="K136" s="29"/>
      <c r="L136" s="71" t="str">
        <f>HYPERLINK("\\mycloudpr2100\ПДО учет\ММЗ\Проект 12560\12560.381.02 Гайка (А4).pdf","12560.381.02")</f>
        <v>12560.381.02</v>
      </c>
      <c r="M136" s="72" t="s">
        <v>40</v>
      </c>
      <c r="N136" s="25"/>
      <c r="O136" s="72"/>
      <c r="P136" s="72"/>
      <c r="Q136" s="72">
        <v>1000</v>
      </c>
      <c r="R136" s="72">
        <v>1000</v>
      </c>
      <c r="S136" s="72">
        <v>1000</v>
      </c>
      <c r="T136" s="72">
        <v>900</v>
      </c>
      <c r="U136" s="72">
        <v>900</v>
      </c>
      <c r="V136" s="72">
        <f t="shared" si="47"/>
        <v>4800</v>
      </c>
      <c r="W136" s="17"/>
      <c r="X136" s="17"/>
      <c r="Y136" s="32"/>
      <c r="Z136" s="73"/>
      <c r="AA136" s="73"/>
      <c r="AB136" s="73"/>
      <c r="AC136" s="73"/>
      <c r="AD136" s="73"/>
      <c r="AE136" s="74"/>
      <c r="AF136" s="75"/>
      <c r="AG136" s="76"/>
      <c r="AH136" s="77"/>
      <c r="AI136" s="73"/>
      <c r="AJ136" s="72"/>
    </row>
    <row r="137" spans="1:36" hidden="1" x14ac:dyDescent="0.25">
      <c r="A137" s="68">
        <v>137</v>
      </c>
      <c r="B137" s="69">
        <f t="shared" si="48"/>
        <v>74</v>
      </c>
      <c r="C137" s="69"/>
      <c r="D137" s="69"/>
      <c r="E137" s="69"/>
      <c r="F137" s="70" t="s">
        <v>171</v>
      </c>
      <c r="G137" s="29"/>
      <c r="H137" s="29"/>
      <c r="I137" s="29"/>
      <c r="J137" s="29"/>
      <c r="K137" s="29"/>
      <c r="L137" s="71" t="str">
        <f>HYPERLINK("\\mycloudpr2100\ПДО учет\ММЗ\Проект 12560\12560.383.01 Кронштейн (А3).pdf","12560.383.01")</f>
        <v>12560.383.01</v>
      </c>
      <c r="M137" s="72" t="s">
        <v>32</v>
      </c>
      <c r="N137" s="25"/>
      <c r="O137" s="72"/>
      <c r="P137" s="72"/>
      <c r="Q137" s="72">
        <v>200</v>
      </c>
      <c r="R137" s="72">
        <v>200</v>
      </c>
      <c r="S137" s="72">
        <v>200</v>
      </c>
      <c r="T137" s="72">
        <v>180</v>
      </c>
      <c r="U137" s="72">
        <v>180</v>
      </c>
      <c r="V137" s="72">
        <f t="shared" si="47"/>
        <v>960</v>
      </c>
      <c r="W137" s="17"/>
      <c r="X137" s="17"/>
      <c r="Y137" s="32"/>
      <c r="Z137" s="73"/>
      <c r="AA137" s="73"/>
      <c r="AB137" s="73"/>
      <c r="AC137" s="73"/>
      <c r="AD137" s="73"/>
      <c r="AE137" s="74"/>
      <c r="AF137" s="75"/>
      <c r="AG137" s="76"/>
      <c r="AH137" s="77"/>
      <c r="AI137" s="73"/>
      <c r="AJ137" s="72"/>
    </row>
    <row r="138" spans="1:36" hidden="1" x14ac:dyDescent="0.25">
      <c r="A138" s="68">
        <v>138</v>
      </c>
      <c r="B138" s="69">
        <f t="shared" si="48"/>
        <v>75</v>
      </c>
      <c r="C138" s="69"/>
      <c r="D138" s="69"/>
      <c r="E138" s="69"/>
      <c r="F138" s="70" t="s">
        <v>171</v>
      </c>
      <c r="G138" s="29"/>
      <c r="H138" s="29"/>
      <c r="I138" s="29"/>
      <c r="J138" s="29"/>
      <c r="K138" s="29"/>
      <c r="L138" s="71" t="str">
        <f>HYPERLINK("\\mycloudpr2100\ПДО учет\ММЗ\Проект 12560\12560.388.02 Прокладка (А4).pdf","12560.388.02")</f>
        <v>12560.388.02</v>
      </c>
      <c r="M138" s="72" t="s">
        <v>48</v>
      </c>
      <c r="N138" s="25"/>
      <c r="O138" s="72"/>
      <c r="P138" s="72"/>
      <c r="Q138" s="72">
        <v>200</v>
      </c>
      <c r="R138" s="72">
        <v>200</v>
      </c>
      <c r="S138" s="72">
        <v>200</v>
      </c>
      <c r="T138" s="72">
        <v>180</v>
      </c>
      <c r="U138" s="72">
        <v>180</v>
      </c>
      <c r="V138" s="72">
        <f t="shared" si="47"/>
        <v>960</v>
      </c>
      <c r="W138" s="17"/>
      <c r="X138" s="17"/>
      <c r="Y138" s="32"/>
      <c r="Z138" s="73"/>
      <c r="AA138" s="73"/>
      <c r="AB138" s="73"/>
      <c r="AC138" s="73"/>
      <c r="AD138" s="73"/>
      <c r="AE138" s="74"/>
      <c r="AF138" s="75"/>
      <c r="AG138" s="76"/>
      <c r="AH138" s="77"/>
      <c r="AI138" s="73"/>
      <c r="AJ138" s="72"/>
    </row>
    <row r="139" spans="1:36" hidden="1" x14ac:dyDescent="0.25">
      <c r="A139" s="68">
        <v>139</v>
      </c>
      <c r="B139" s="69">
        <f t="shared" si="48"/>
        <v>76</v>
      </c>
      <c r="C139" s="69"/>
      <c r="D139" s="69"/>
      <c r="E139" s="69"/>
      <c r="F139" s="70" t="s">
        <v>171</v>
      </c>
      <c r="G139" s="29"/>
      <c r="H139" s="29"/>
      <c r="I139" s="29"/>
      <c r="J139" s="29"/>
      <c r="K139" s="29"/>
      <c r="L139" s="71" t="str">
        <f>HYPERLINK("\\mycloudpr2100\ПДО учет\ММЗ\Проект 12560\12560.388.03 Прокладка (А4).pdf","12560.388.03")</f>
        <v>12560.388.03</v>
      </c>
      <c r="M139" s="72" t="s">
        <v>48</v>
      </c>
      <c r="N139" s="25"/>
      <c r="O139" s="72"/>
      <c r="P139" s="72"/>
      <c r="Q139" s="72">
        <v>200</v>
      </c>
      <c r="R139" s="72">
        <v>200</v>
      </c>
      <c r="S139" s="72">
        <v>200</v>
      </c>
      <c r="T139" s="72">
        <v>180</v>
      </c>
      <c r="U139" s="72">
        <v>180</v>
      </c>
      <c r="V139" s="72">
        <f t="shared" si="47"/>
        <v>960</v>
      </c>
      <c r="W139" s="17"/>
      <c r="X139" s="17"/>
      <c r="Y139" s="32"/>
      <c r="Z139" s="73"/>
      <c r="AA139" s="73"/>
      <c r="AB139" s="73"/>
      <c r="AC139" s="73"/>
      <c r="AD139" s="73"/>
      <c r="AE139" s="74"/>
      <c r="AF139" s="75"/>
      <c r="AG139" s="76"/>
      <c r="AH139" s="77"/>
      <c r="AI139" s="73"/>
      <c r="AJ139" s="72"/>
    </row>
  </sheetData>
  <autoFilter ref="A1:AJ139" xr:uid="{00000000-0001-0000-0000-000000000000}">
    <filterColumn colId="3">
      <customFilters>
        <customFilter operator="notEqual" val=" "/>
      </customFilters>
    </filterColumn>
  </autoFilter>
  <dataConsolidate function="count">
    <dataRefs count="1">
      <dataRef ref="B2:B4" sheet="Лист3"/>
    </dataRefs>
  </dataConsolidate>
  <phoneticPr fontId="2" type="noConversion"/>
  <conditionalFormatting sqref="L56 L49:L50 L38">
    <cfRule type="duplicateValues" dxfId="7" priority="2"/>
  </conditionalFormatting>
  <conditionalFormatting sqref="L61:L1048576 L55:L57 L43:L46 L33:L38 L1:L26 L48:L50">
    <cfRule type="duplicateValues" dxfId="6" priority="1"/>
  </conditionalFormatting>
  <conditionalFormatting sqref="L140:L1048576 L68 L120 L87 L79 L1">
    <cfRule type="duplicateValues" dxfId="5" priority="47"/>
  </conditionalFormatting>
  <pageMargins left="0.23622047244094491" right="0.23622047244094491" top="0.15748031496062992" bottom="0.15748031496062992" header="0.31496062992125984" footer="0.31496062992125984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0459A-80B1-429C-AA2B-7D3B220F6408}">
  <dimension ref="A1:F97"/>
  <sheetViews>
    <sheetView workbookViewId="0">
      <selection activeCell="A95" sqref="A2:F95"/>
    </sheetView>
  </sheetViews>
  <sheetFormatPr defaultRowHeight="15" x14ac:dyDescent="0.25"/>
  <cols>
    <col min="1" max="1" width="51" bestFit="1" customWidth="1"/>
    <col min="2" max="2" width="12" bestFit="1" customWidth="1"/>
    <col min="3" max="3" width="15.85546875" bestFit="1" customWidth="1"/>
    <col min="4" max="4" width="16.140625" bestFit="1" customWidth="1"/>
    <col min="5" max="5" width="15.28515625" bestFit="1" customWidth="1"/>
    <col min="6" max="6" width="45.7109375" bestFit="1" customWidth="1"/>
  </cols>
  <sheetData>
    <row r="1" spans="1:6" x14ac:dyDescent="0.25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</row>
    <row r="2" spans="1:6" x14ac:dyDescent="0.25">
      <c r="A2" t="s">
        <v>179</v>
      </c>
      <c r="B2" t="s">
        <v>180</v>
      </c>
      <c r="C2" s="40">
        <v>46260.367015289354</v>
      </c>
      <c r="D2" s="40">
        <v>46252.607781053244</v>
      </c>
      <c r="E2" s="40">
        <v>46260.36701613426</v>
      </c>
      <c r="F2" t="s">
        <v>181</v>
      </c>
    </row>
    <row r="3" spans="1:6" x14ac:dyDescent="0.25">
      <c r="A3" t="s">
        <v>182</v>
      </c>
      <c r="B3" t="s">
        <v>180</v>
      </c>
      <c r="C3" s="40">
        <v>46260.367015613425</v>
      </c>
      <c r="D3" s="40">
        <v>46252.602461863426</v>
      </c>
      <c r="E3" s="40">
        <v>46260.367016261574</v>
      </c>
      <c r="F3" t="s">
        <v>181</v>
      </c>
    </row>
    <row r="4" spans="1:6" x14ac:dyDescent="0.25">
      <c r="A4" t="s">
        <v>183</v>
      </c>
      <c r="B4" t="s">
        <v>180</v>
      </c>
      <c r="C4" s="40">
        <v>46260.367016064818</v>
      </c>
      <c r="D4" s="40">
        <v>46252.426254363425</v>
      </c>
      <c r="E4" s="40">
        <v>46260.367016261574</v>
      </c>
      <c r="F4" t="s">
        <v>181</v>
      </c>
    </row>
    <row r="5" spans="1:6" x14ac:dyDescent="0.25">
      <c r="A5" t="s">
        <v>184</v>
      </c>
      <c r="B5" t="s">
        <v>180</v>
      </c>
      <c r="C5" s="40">
        <v>46260.367016458331</v>
      </c>
      <c r="D5" s="40">
        <v>46252.427643252318</v>
      </c>
      <c r="E5" s="40">
        <v>46260.367016296295</v>
      </c>
      <c r="F5" t="s">
        <v>181</v>
      </c>
    </row>
    <row r="6" spans="1:6" x14ac:dyDescent="0.25">
      <c r="A6" t="s">
        <v>185</v>
      </c>
      <c r="B6" t="s">
        <v>180</v>
      </c>
      <c r="C6" s="40">
        <v>46260.36701681713</v>
      </c>
      <c r="D6" s="40">
        <v>46252.429366886572</v>
      </c>
      <c r="E6" s="40">
        <v>46260.367016307871</v>
      </c>
      <c r="F6" t="s">
        <v>181</v>
      </c>
    </row>
    <row r="7" spans="1:6" x14ac:dyDescent="0.25">
      <c r="A7" t="s">
        <v>186</v>
      </c>
      <c r="B7" t="s">
        <v>180</v>
      </c>
      <c r="C7" s="40">
        <v>46260.367017372686</v>
      </c>
      <c r="D7" s="40">
        <v>46252.43055394676</v>
      </c>
      <c r="E7" s="40">
        <v>46260.367016319447</v>
      </c>
      <c r="F7" t="s">
        <v>181</v>
      </c>
    </row>
    <row r="8" spans="1:6" x14ac:dyDescent="0.25">
      <c r="A8" t="s">
        <v>187</v>
      </c>
      <c r="B8" t="s">
        <v>180</v>
      </c>
      <c r="C8" s="40">
        <v>46260.367017951387</v>
      </c>
      <c r="D8" s="40">
        <v>46252.431857847223</v>
      </c>
      <c r="E8" s="40">
        <v>46260.367016331016</v>
      </c>
      <c r="F8" t="s">
        <v>181</v>
      </c>
    </row>
    <row r="9" spans="1:6" x14ac:dyDescent="0.25">
      <c r="A9" t="s">
        <v>188</v>
      </c>
      <c r="B9" t="s">
        <v>180</v>
      </c>
      <c r="C9" s="40">
        <v>46260.367018136574</v>
      </c>
      <c r="D9" s="40">
        <v>46252.433466273149</v>
      </c>
      <c r="E9" s="40">
        <v>46260.367016342592</v>
      </c>
      <c r="F9" t="s">
        <v>181</v>
      </c>
    </row>
    <row r="10" spans="1:6" x14ac:dyDescent="0.25">
      <c r="A10" t="s">
        <v>189</v>
      </c>
      <c r="B10" t="s">
        <v>180</v>
      </c>
      <c r="C10" s="40">
        <v>46260.367018530094</v>
      </c>
      <c r="D10" s="40">
        <v>46252.439462187504</v>
      </c>
      <c r="E10" s="40">
        <v>46260.367016354168</v>
      </c>
      <c r="F10" t="s">
        <v>181</v>
      </c>
    </row>
    <row r="11" spans="1:6" x14ac:dyDescent="0.25">
      <c r="A11" t="s">
        <v>190</v>
      </c>
      <c r="B11" t="s">
        <v>180</v>
      </c>
      <c r="C11" s="40">
        <v>46260.367018912038</v>
      </c>
      <c r="D11" s="40">
        <v>46252.440902615737</v>
      </c>
      <c r="E11" s="40">
        <v>46260.367016377313</v>
      </c>
      <c r="F11" t="s">
        <v>181</v>
      </c>
    </row>
    <row r="12" spans="1:6" x14ac:dyDescent="0.25">
      <c r="A12" t="s">
        <v>191</v>
      </c>
      <c r="B12" t="s">
        <v>180</v>
      </c>
      <c r="C12" s="40">
        <v>46260.367019143516</v>
      </c>
      <c r="D12" s="40">
        <v>46252.458034062503</v>
      </c>
      <c r="E12" s="40">
        <v>46260.367016400465</v>
      </c>
      <c r="F12" t="s">
        <v>181</v>
      </c>
    </row>
    <row r="13" spans="1:6" x14ac:dyDescent="0.25">
      <c r="A13" t="s">
        <v>192</v>
      </c>
      <c r="B13" t="s">
        <v>180</v>
      </c>
      <c r="C13" s="40">
        <v>46260.367019386576</v>
      </c>
      <c r="D13" s="40">
        <v>46252.608641331019</v>
      </c>
      <c r="E13" s="40">
        <v>46260.36701642361</v>
      </c>
      <c r="F13" t="s">
        <v>181</v>
      </c>
    </row>
    <row r="14" spans="1:6" x14ac:dyDescent="0.25">
      <c r="A14" t="s">
        <v>193</v>
      </c>
      <c r="B14" t="s">
        <v>180</v>
      </c>
      <c r="C14" s="40">
        <v>46260.367019571757</v>
      </c>
      <c r="D14" s="40">
        <v>46252.610140358796</v>
      </c>
      <c r="E14" s="40">
        <v>46260.36701642361</v>
      </c>
      <c r="F14" t="s">
        <v>181</v>
      </c>
    </row>
    <row r="15" spans="1:6" x14ac:dyDescent="0.25">
      <c r="A15" t="s">
        <v>194</v>
      </c>
      <c r="B15" t="s">
        <v>180</v>
      </c>
      <c r="C15" s="40">
        <v>46260.367019791665</v>
      </c>
      <c r="D15" s="40">
        <v>46252.463344386575</v>
      </c>
      <c r="E15" s="40">
        <v>46260.367016446762</v>
      </c>
      <c r="F15" t="s">
        <v>181</v>
      </c>
    </row>
    <row r="16" spans="1:6" x14ac:dyDescent="0.25">
      <c r="A16" t="s">
        <v>195</v>
      </c>
      <c r="B16" t="s">
        <v>180</v>
      </c>
      <c r="C16" s="40">
        <v>46260.367019999998</v>
      </c>
      <c r="D16" s="40">
        <v>46252.464547187497</v>
      </c>
      <c r="E16" s="40">
        <v>46260.367016458331</v>
      </c>
      <c r="F16" t="s">
        <v>181</v>
      </c>
    </row>
    <row r="17" spans="1:6" x14ac:dyDescent="0.25">
      <c r="A17" t="s">
        <v>196</v>
      </c>
      <c r="B17" t="s">
        <v>180</v>
      </c>
      <c r="C17" s="40">
        <v>46260.36702020833</v>
      </c>
      <c r="D17" s="40">
        <v>46252.466780983799</v>
      </c>
      <c r="E17" s="40">
        <v>46260.367016469907</v>
      </c>
      <c r="F17" t="s">
        <v>181</v>
      </c>
    </row>
    <row r="18" spans="1:6" x14ac:dyDescent="0.25">
      <c r="A18" t="s">
        <v>197</v>
      </c>
      <c r="B18" t="s">
        <v>180</v>
      </c>
      <c r="C18" s="40">
        <v>46260.367022326391</v>
      </c>
      <c r="D18" s="40">
        <v>46252.469717361113</v>
      </c>
      <c r="E18" s="40">
        <v>46260.367016493059</v>
      </c>
      <c r="F18" t="s">
        <v>181</v>
      </c>
    </row>
    <row r="19" spans="1:6" x14ac:dyDescent="0.25">
      <c r="A19" t="s">
        <v>198</v>
      </c>
      <c r="B19" t="s">
        <v>180</v>
      </c>
      <c r="C19" s="40">
        <v>46260.367022858794</v>
      </c>
      <c r="D19" s="40">
        <v>46252.471232662036</v>
      </c>
      <c r="E19" s="40">
        <v>46260.367016504628</v>
      </c>
      <c r="F19" t="s">
        <v>181</v>
      </c>
    </row>
    <row r="20" spans="1:6" x14ac:dyDescent="0.25">
      <c r="A20" t="s">
        <v>199</v>
      </c>
      <c r="B20" t="s">
        <v>180</v>
      </c>
      <c r="C20" s="40">
        <v>46260.367023090279</v>
      </c>
      <c r="D20" s="40">
        <v>46252.472663692133</v>
      </c>
      <c r="E20" s="40">
        <v>46260.36701652778</v>
      </c>
      <c r="F20" t="s">
        <v>181</v>
      </c>
    </row>
    <row r="21" spans="1:6" x14ac:dyDescent="0.25">
      <c r="A21" t="s">
        <v>200</v>
      </c>
      <c r="B21" t="s">
        <v>180</v>
      </c>
      <c r="C21" s="40">
        <v>46260.367023310188</v>
      </c>
      <c r="D21" s="40">
        <v>46259.61143034722</v>
      </c>
      <c r="E21" s="40">
        <v>46260.367016539349</v>
      </c>
      <c r="F21" t="s">
        <v>181</v>
      </c>
    </row>
    <row r="22" spans="1:6" x14ac:dyDescent="0.25">
      <c r="A22" t="s">
        <v>201</v>
      </c>
      <c r="B22" t="s">
        <v>180</v>
      </c>
      <c r="C22" s="40">
        <v>46260.367023506944</v>
      </c>
      <c r="D22" s="40">
        <v>46259.61145340278</v>
      </c>
      <c r="E22" s="40">
        <v>46260.367016550925</v>
      </c>
      <c r="F22" t="s">
        <v>181</v>
      </c>
    </row>
    <row r="23" spans="1:6" x14ac:dyDescent="0.25">
      <c r="A23" t="s">
        <v>202</v>
      </c>
      <c r="B23" t="s">
        <v>180</v>
      </c>
      <c r="C23" s="40">
        <v>46260.367024027779</v>
      </c>
      <c r="D23" s="40">
        <v>46252.473493043981</v>
      </c>
      <c r="E23" s="40">
        <v>46260.367016574077</v>
      </c>
      <c r="F23" t="s">
        <v>181</v>
      </c>
    </row>
    <row r="24" spans="1:6" x14ac:dyDescent="0.25">
      <c r="A24" t="s">
        <v>203</v>
      </c>
      <c r="B24" t="s">
        <v>180</v>
      </c>
      <c r="C24" s="40">
        <v>46260.367024236111</v>
      </c>
      <c r="D24" s="40">
        <v>46252.474322222224</v>
      </c>
      <c r="E24" s="40">
        <v>46260.367016585646</v>
      </c>
      <c r="F24" t="s">
        <v>181</v>
      </c>
    </row>
    <row r="25" spans="1:6" x14ac:dyDescent="0.25">
      <c r="A25" t="s">
        <v>204</v>
      </c>
      <c r="B25" t="s">
        <v>180</v>
      </c>
      <c r="C25" s="40">
        <v>46260.367024444444</v>
      </c>
      <c r="D25" s="40">
        <v>46252.475034745374</v>
      </c>
      <c r="E25" s="40">
        <v>46260.367016597222</v>
      </c>
      <c r="F25" t="s">
        <v>181</v>
      </c>
    </row>
    <row r="26" spans="1:6" x14ac:dyDescent="0.25">
      <c r="A26" t="s">
        <v>205</v>
      </c>
      <c r="B26" t="s">
        <v>180</v>
      </c>
      <c r="C26" s="40">
        <v>46260.367024652776</v>
      </c>
      <c r="D26" s="40">
        <v>46252.475831365744</v>
      </c>
      <c r="E26" s="40">
        <v>46260.367016608798</v>
      </c>
      <c r="F26" t="s">
        <v>181</v>
      </c>
    </row>
    <row r="27" spans="1:6" x14ac:dyDescent="0.25">
      <c r="A27" t="s">
        <v>206</v>
      </c>
      <c r="B27" t="s">
        <v>180</v>
      </c>
      <c r="C27" s="40">
        <v>46260.367024861109</v>
      </c>
      <c r="D27" s="40">
        <v>46252.475875671298</v>
      </c>
      <c r="E27" s="40">
        <v>46260.367016620374</v>
      </c>
      <c r="F27" t="s">
        <v>181</v>
      </c>
    </row>
    <row r="28" spans="1:6" x14ac:dyDescent="0.25">
      <c r="A28" t="s">
        <v>207</v>
      </c>
      <c r="B28" t="s">
        <v>180</v>
      </c>
      <c r="C28" s="40">
        <v>46260.367025069441</v>
      </c>
      <c r="D28" s="40">
        <v>46252.475288657406</v>
      </c>
      <c r="E28" s="40">
        <v>46260.367016631943</v>
      </c>
      <c r="F28" t="s">
        <v>181</v>
      </c>
    </row>
    <row r="29" spans="1:6" x14ac:dyDescent="0.25">
      <c r="A29" t="s">
        <v>208</v>
      </c>
      <c r="B29" t="s">
        <v>180</v>
      </c>
      <c r="C29" s="40">
        <v>46260.36702528935</v>
      </c>
      <c r="D29" s="40">
        <v>46252.474765648149</v>
      </c>
      <c r="E29" s="40">
        <v>46260.367016643519</v>
      </c>
      <c r="F29" t="s">
        <v>181</v>
      </c>
    </row>
    <row r="30" spans="1:6" x14ac:dyDescent="0.25">
      <c r="A30" t="s">
        <v>209</v>
      </c>
      <c r="B30" t="s">
        <v>180</v>
      </c>
      <c r="C30" s="40">
        <v>46260.367025520834</v>
      </c>
      <c r="D30" s="40">
        <v>46252.473589074078</v>
      </c>
      <c r="E30" s="40">
        <v>46260.367016655095</v>
      </c>
      <c r="F30" t="s">
        <v>181</v>
      </c>
    </row>
    <row r="31" spans="1:6" x14ac:dyDescent="0.25">
      <c r="A31" t="s">
        <v>210</v>
      </c>
      <c r="B31" t="s">
        <v>180</v>
      </c>
      <c r="C31" s="40">
        <v>46260.367025740743</v>
      </c>
      <c r="D31" s="40">
        <v>46252.472976736113</v>
      </c>
      <c r="E31" s="40">
        <v>46260.367016666663</v>
      </c>
      <c r="F31" t="s">
        <v>181</v>
      </c>
    </row>
    <row r="32" spans="1:6" x14ac:dyDescent="0.25">
      <c r="A32" t="s">
        <v>211</v>
      </c>
      <c r="B32" t="s">
        <v>180</v>
      </c>
      <c r="C32" s="40">
        <v>46260.367025960652</v>
      </c>
      <c r="D32" s="40">
        <v>46252.469279537036</v>
      </c>
      <c r="E32" s="40">
        <v>46260.367016678239</v>
      </c>
      <c r="F32" t="s">
        <v>181</v>
      </c>
    </row>
    <row r="33" spans="1:6" x14ac:dyDescent="0.25">
      <c r="A33" t="s">
        <v>212</v>
      </c>
      <c r="B33" t="s">
        <v>180</v>
      </c>
      <c r="C33" s="40">
        <v>46260.367026180553</v>
      </c>
      <c r="D33" s="40">
        <v>46252.468612037039</v>
      </c>
      <c r="E33" s="40">
        <v>46260.367016689816</v>
      </c>
      <c r="F33" t="s">
        <v>181</v>
      </c>
    </row>
    <row r="34" spans="1:6" x14ac:dyDescent="0.25">
      <c r="A34" t="s">
        <v>213</v>
      </c>
      <c r="B34" t="s">
        <v>180</v>
      </c>
      <c r="C34" s="40">
        <v>46260.367026458334</v>
      </c>
      <c r="D34" s="40">
        <v>46252.467271435184</v>
      </c>
      <c r="E34" s="40">
        <v>46260.367016724536</v>
      </c>
      <c r="F34" t="s">
        <v>181</v>
      </c>
    </row>
    <row r="35" spans="1:6" x14ac:dyDescent="0.25">
      <c r="A35" t="s">
        <v>214</v>
      </c>
      <c r="B35" t="s">
        <v>180</v>
      </c>
      <c r="C35" s="40">
        <v>46260.36702672454</v>
      </c>
      <c r="D35" s="40">
        <v>46252.466348043985</v>
      </c>
      <c r="E35" s="40">
        <v>46260.367016759257</v>
      </c>
      <c r="F35" t="s">
        <v>181</v>
      </c>
    </row>
    <row r="36" spans="1:6" x14ac:dyDescent="0.25">
      <c r="A36" t="s">
        <v>215</v>
      </c>
      <c r="B36" t="s">
        <v>180</v>
      </c>
      <c r="C36" s="40">
        <v>46260.367026979169</v>
      </c>
      <c r="D36" s="40">
        <v>46252.465601875003</v>
      </c>
      <c r="E36" s="40">
        <v>46260.367016770833</v>
      </c>
      <c r="F36" t="s">
        <v>181</v>
      </c>
    </row>
    <row r="37" spans="1:6" x14ac:dyDescent="0.25">
      <c r="A37" t="s">
        <v>216</v>
      </c>
      <c r="B37" t="s">
        <v>180</v>
      </c>
      <c r="C37" s="40">
        <v>46260.367027453707</v>
      </c>
      <c r="D37" s="40">
        <v>46252.464895671299</v>
      </c>
      <c r="E37" s="40">
        <v>46260.367016793978</v>
      </c>
      <c r="F37" t="s">
        <v>181</v>
      </c>
    </row>
    <row r="38" spans="1:6" x14ac:dyDescent="0.25">
      <c r="A38" t="s">
        <v>217</v>
      </c>
      <c r="B38" t="s">
        <v>180</v>
      </c>
      <c r="C38" s="40">
        <v>46260.367027939814</v>
      </c>
      <c r="D38" s="40">
        <v>46252.464122569443</v>
      </c>
      <c r="E38" s="40">
        <v>46260.367016805554</v>
      </c>
      <c r="F38" t="s">
        <v>181</v>
      </c>
    </row>
    <row r="39" spans="1:6" x14ac:dyDescent="0.25">
      <c r="A39" t="s">
        <v>218</v>
      </c>
      <c r="B39" t="s">
        <v>180</v>
      </c>
      <c r="C39" s="40">
        <v>46260.367028182867</v>
      </c>
      <c r="D39" s="40">
        <v>46252.463120138891</v>
      </c>
      <c r="E39" s="40">
        <v>46260.36701681713</v>
      </c>
      <c r="F39" t="s">
        <v>181</v>
      </c>
    </row>
    <row r="40" spans="1:6" x14ac:dyDescent="0.25">
      <c r="A40" t="s">
        <v>219</v>
      </c>
      <c r="B40" t="s">
        <v>180</v>
      </c>
      <c r="C40" s="40">
        <v>46260.367028437497</v>
      </c>
      <c r="D40" s="40">
        <v>46252.461827997686</v>
      </c>
      <c r="E40" s="40">
        <v>46260.367016851851</v>
      </c>
      <c r="F40" t="s">
        <v>181</v>
      </c>
    </row>
    <row r="41" spans="1:6" x14ac:dyDescent="0.25">
      <c r="A41" t="s">
        <v>220</v>
      </c>
      <c r="B41" t="s">
        <v>180</v>
      </c>
      <c r="C41" s="40">
        <v>46260.367028692126</v>
      </c>
      <c r="D41" s="40">
        <v>46252.460665891202</v>
      </c>
      <c r="E41" s="40">
        <v>46260.367016875003</v>
      </c>
      <c r="F41" t="s">
        <v>181</v>
      </c>
    </row>
    <row r="42" spans="1:6" x14ac:dyDescent="0.25">
      <c r="A42" t="s">
        <v>221</v>
      </c>
      <c r="B42" t="s">
        <v>180</v>
      </c>
      <c r="C42" s="40">
        <v>46260.367028946763</v>
      </c>
      <c r="D42" s="40">
        <v>46252.459178993056</v>
      </c>
      <c r="E42" s="40">
        <v>46260.367016898148</v>
      </c>
      <c r="F42" t="s">
        <v>181</v>
      </c>
    </row>
    <row r="43" spans="1:6" x14ac:dyDescent="0.25">
      <c r="A43" t="s">
        <v>222</v>
      </c>
      <c r="B43" t="s">
        <v>180</v>
      </c>
      <c r="C43" s="40">
        <v>46260.367029189816</v>
      </c>
      <c r="D43" s="40">
        <v>46252.458163726849</v>
      </c>
      <c r="E43" s="40">
        <v>46260.367016909724</v>
      </c>
      <c r="F43" t="s">
        <v>181</v>
      </c>
    </row>
    <row r="44" spans="1:6" x14ac:dyDescent="0.25">
      <c r="A44" t="s">
        <v>223</v>
      </c>
      <c r="B44" t="s">
        <v>180</v>
      </c>
      <c r="C44" s="40">
        <v>46260.367029444446</v>
      </c>
      <c r="D44" s="40">
        <v>46252.45685386574</v>
      </c>
      <c r="E44" s="40">
        <v>46260.367016921293</v>
      </c>
      <c r="F44" t="s">
        <v>181</v>
      </c>
    </row>
    <row r="45" spans="1:6" x14ac:dyDescent="0.25">
      <c r="A45" t="s">
        <v>224</v>
      </c>
      <c r="B45" t="s">
        <v>180</v>
      </c>
      <c r="C45" s="40">
        <v>46260.367029699075</v>
      </c>
      <c r="D45" s="40">
        <v>46252.455730451387</v>
      </c>
      <c r="E45" s="40">
        <v>46260.367016944445</v>
      </c>
      <c r="F45" t="s">
        <v>181</v>
      </c>
    </row>
    <row r="46" spans="1:6" x14ac:dyDescent="0.25">
      <c r="A46" t="s">
        <v>225</v>
      </c>
      <c r="B46" t="s">
        <v>180</v>
      </c>
      <c r="C46" s="40">
        <v>46260.367029930552</v>
      </c>
      <c r="D46" s="40">
        <v>46252.454623148151</v>
      </c>
      <c r="E46" s="40">
        <v>46260.367016956021</v>
      </c>
      <c r="F46" t="s">
        <v>181</v>
      </c>
    </row>
    <row r="47" spans="1:6" x14ac:dyDescent="0.25">
      <c r="A47" t="s">
        <v>226</v>
      </c>
      <c r="B47" t="s">
        <v>180</v>
      </c>
      <c r="C47" s="40">
        <v>46260.367030173613</v>
      </c>
      <c r="D47" s="40">
        <v>46252.453795231479</v>
      </c>
      <c r="E47" s="40">
        <v>46260.36701696759</v>
      </c>
      <c r="F47" t="s">
        <v>181</v>
      </c>
    </row>
    <row r="48" spans="1:6" x14ac:dyDescent="0.25">
      <c r="A48" t="s">
        <v>227</v>
      </c>
      <c r="B48" t="s">
        <v>180</v>
      </c>
      <c r="C48" s="40">
        <v>46260.367030520836</v>
      </c>
      <c r="D48" s="40">
        <v>46252.452998067129</v>
      </c>
      <c r="E48" s="40">
        <v>46260.367017037039</v>
      </c>
      <c r="F48" t="s">
        <v>181</v>
      </c>
    </row>
    <row r="49" spans="1:6" x14ac:dyDescent="0.25">
      <c r="A49" t="s">
        <v>228</v>
      </c>
      <c r="B49" t="s">
        <v>180</v>
      </c>
      <c r="C49" s="40">
        <v>46260.367030844907</v>
      </c>
      <c r="D49" s="40">
        <v>46252.452224953704</v>
      </c>
      <c r="E49" s="40">
        <v>46260.367017094904</v>
      </c>
      <c r="F49" t="s">
        <v>181</v>
      </c>
    </row>
    <row r="50" spans="1:6" x14ac:dyDescent="0.25">
      <c r="A50" t="s">
        <v>229</v>
      </c>
      <c r="B50" t="s">
        <v>180</v>
      </c>
      <c r="C50" s="40">
        <v>46260.367031111113</v>
      </c>
      <c r="D50" s="40">
        <v>46252.451184016201</v>
      </c>
      <c r="E50" s="40">
        <v>46260.36701710648</v>
      </c>
      <c r="F50" t="s">
        <v>181</v>
      </c>
    </row>
    <row r="51" spans="1:6" x14ac:dyDescent="0.25">
      <c r="A51" t="s">
        <v>230</v>
      </c>
      <c r="B51" t="s">
        <v>180</v>
      </c>
      <c r="C51" s="40">
        <v>46260.367031365742</v>
      </c>
      <c r="D51" s="40">
        <v>46252.450665717595</v>
      </c>
      <c r="E51" s="40">
        <v>46260.367017129633</v>
      </c>
      <c r="F51" t="s">
        <v>181</v>
      </c>
    </row>
    <row r="52" spans="1:6" x14ac:dyDescent="0.25">
      <c r="A52" t="s">
        <v>231</v>
      </c>
      <c r="B52" t="s">
        <v>180</v>
      </c>
      <c r="C52" s="40">
        <v>46260.367031597219</v>
      </c>
      <c r="D52" s="40">
        <v>46252.449758599534</v>
      </c>
      <c r="E52" s="40">
        <v>46260.367017141201</v>
      </c>
      <c r="F52" t="s">
        <v>181</v>
      </c>
    </row>
    <row r="53" spans="1:6" x14ac:dyDescent="0.25">
      <c r="A53" t="s">
        <v>232</v>
      </c>
      <c r="B53" t="s">
        <v>180</v>
      </c>
      <c r="C53" s="40">
        <v>46260.367031851849</v>
      </c>
      <c r="D53" s="40">
        <v>46252.448879872682</v>
      </c>
      <c r="E53" s="40">
        <v>46260.367017152777</v>
      </c>
      <c r="F53" t="s">
        <v>181</v>
      </c>
    </row>
    <row r="54" spans="1:6" x14ac:dyDescent="0.25">
      <c r="A54" t="s">
        <v>233</v>
      </c>
      <c r="B54" t="s">
        <v>180</v>
      </c>
      <c r="C54" s="40">
        <v>46260.36703209491</v>
      </c>
      <c r="D54" s="40">
        <v>46252.445516331019</v>
      </c>
      <c r="E54" s="40">
        <v>46260.367017164353</v>
      </c>
      <c r="F54" t="s">
        <v>181</v>
      </c>
    </row>
    <row r="55" spans="1:6" x14ac:dyDescent="0.25">
      <c r="A55" t="s">
        <v>234</v>
      </c>
      <c r="B55" t="s">
        <v>180</v>
      </c>
      <c r="C55" s="40">
        <v>46260.367032337963</v>
      </c>
      <c r="D55" s="40">
        <v>46252.618799942131</v>
      </c>
      <c r="E55" s="40">
        <v>46260.36701717593</v>
      </c>
      <c r="F55" t="s">
        <v>181</v>
      </c>
    </row>
    <row r="56" spans="1:6" x14ac:dyDescent="0.25">
      <c r="A56" t="s">
        <v>235</v>
      </c>
      <c r="B56" t="s">
        <v>180</v>
      </c>
      <c r="C56" s="40">
        <v>46260.367032581016</v>
      </c>
      <c r="D56" s="40">
        <v>46252.619489675926</v>
      </c>
      <c r="E56" s="40">
        <v>46260.367017187498</v>
      </c>
      <c r="F56" t="s">
        <v>181</v>
      </c>
    </row>
    <row r="57" spans="1:6" x14ac:dyDescent="0.25">
      <c r="A57" t="s">
        <v>236</v>
      </c>
      <c r="B57" t="s">
        <v>180</v>
      </c>
      <c r="C57" s="40">
        <v>46260.367032835646</v>
      </c>
      <c r="D57" s="40">
        <v>46252.444458032405</v>
      </c>
      <c r="E57" s="40">
        <v>46260.367017199074</v>
      </c>
      <c r="F57" t="s">
        <v>181</v>
      </c>
    </row>
    <row r="58" spans="1:6" x14ac:dyDescent="0.25">
      <c r="A58" t="s">
        <v>237</v>
      </c>
      <c r="B58" t="s">
        <v>180</v>
      </c>
      <c r="C58" s="40">
        <v>46260.367033113427</v>
      </c>
      <c r="D58" s="40">
        <v>46252.443636990742</v>
      </c>
      <c r="E58" s="40">
        <v>46260.367017222219</v>
      </c>
      <c r="F58" t="s">
        <v>181</v>
      </c>
    </row>
    <row r="59" spans="1:6" x14ac:dyDescent="0.25">
      <c r="A59" t="s">
        <v>238</v>
      </c>
      <c r="B59" t="s">
        <v>180</v>
      </c>
      <c r="C59" s="40">
        <v>46260.367033356481</v>
      </c>
      <c r="D59" s="40">
        <v>46252.442941828704</v>
      </c>
      <c r="E59" s="40">
        <v>46260.367017233795</v>
      </c>
      <c r="F59" t="s">
        <v>181</v>
      </c>
    </row>
    <row r="60" spans="1:6" x14ac:dyDescent="0.25">
      <c r="A60" t="s">
        <v>239</v>
      </c>
      <c r="B60" t="s">
        <v>180</v>
      </c>
      <c r="C60" s="40">
        <v>46260.36703361111</v>
      </c>
      <c r="D60" s="40">
        <v>46252.442286261576</v>
      </c>
      <c r="E60" s="40">
        <v>46260.367017245371</v>
      </c>
      <c r="F60" t="s">
        <v>181</v>
      </c>
    </row>
    <row r="61" spans="1:6" x14ac:dyDescent="0.25">
      <c r="A61" t="s">
        <v>240</v>
      </c>
      <c r="B61" t="s">
        <v>180</v>
      </c>
      <c r="C61" s="40">
        <v>46260.367033854163</v>
      </c>
      <c r="D61" s="40">
        <v>46259.664180879627</v>
      </c>
      <c r="E61" s="40">
        <v>46260.367017256947</v>
      </c>
      <c r="F61" t="s">
        <v>181</v>
      </c>
    </row>
    <row r="62" spans="1:6" x14ac:dyDescent="0.25">
      <c r="A62" t="s">
        <v>241</v>
      </c>
      <c r="B62" t="s">
        <v>180</v>
      </c>
      <c r="C62" s="40">
        <v>46260.367034108793</v>
      </c>
      <c r="D62" s="40">
        <v>46259.66419398148</v>
      </c>
      <c r="E62" s="40">
        <v>46260.367017268516</v>
      </c>
      <c r="F62" t="s">
        <v>181</v>
      </c>
    </row>
    <row r="63" spans="1:6" x14ac:dyDescent="0.25">
      <c r="A63" t="s">
        <v>242</v>
      </c>
      <c r="B63" t="s">
        <v>180</v>
      </c>
      <c r="C63" s="40">
        <v>46260.367034351853</v>
      </c>
      <c r="D63" s="40">
        <v>46252.441600868056</v>
      </c>
      <c r="E63" s="40">
        <v>46260.367017268516</v>
      </c>
      <c r="F63" t="s">
        <v>181</v>
      </c>
    </row>
    <row r="64" spans="1:6" x14ac:dyDescent="0.25">
      <c r="A64" t="s">
        <v>243</v>
      </c>
      <c r="B64" t="s">
        <v>180</v>
      </c>
      <c r="C64" s="40">
        <v>46260.367034606483</v>
      </c>
      <c r="D64" s="40">
        <v>46252.440992858799</v>
      </c>
      <c r="E64" s="40">
        <v>46260.367017280092</v>
      </c>
      <c r="F64" t="s">
        <v>181</v>
      </c>
    </row>
    <row r="65" spans="1:6" x14ac:dyDescent="0.25">
      <c r="A65" t="s">
        <v>244</v>
      </c>
      <c r="B65" t="s">
        <v>180</v>
      </c>
      <c r="C65" s="40">
        <v>46260.367034907409</v>
      </c>
      <c r="D65" s="40">
        <v>46252.440281597221</v>
      </c>
      <c r="E65" s="40">
        <v>46260.367017291668</v>
      </c>
      <c r="F65" t="s">
        <v>181</v>
      </c>
    </row>
    <row r="66" spans="1:6" x14ac:dyDescent="0.25">
      <c r="A66" t="s">
        <v>245</v>
      </c>
      <c r="B66" t="s">
        <v>180</v>
      </c>
      <c r="C66" s="40">
        <v>46260.367035208335</v>
      </c>
      <c r="D66" s="40">
        <v>46252.621219456021</v>
      </c>
      <c r="E66" s="40">
        <v>46260.367017314813</v>
      </c>
      <c r="F66" t="s">
        <v>181</v>
      </c>
    </row>
    <row r="67" spans="1:6" x14ac:dyDescent="0.25">
      <c r="A67" t="s">
        <v>246</v>
      </c>
      <c r="B67" t="s">
        <v>180</v>
      </c>
      <c r="C67" s="40">
        <v>46260.367035509262</v>
      </c>
      <c r="D67" s="40">
        <v>46252.620229872686</v>
      </c>
      <c r="E67" s="40">
        <v>46260.367017326389</v>
      </c>
      <c r="F67" t="s">
        <v>181</v>
      </c>
    </row>
    <row r="68" spans="1:6" x14ac:dyDescent="0.25">
      <c r="A68" t="s">
        <v>247</v>
      </c>
      <c r="B68" t="s">
        <v>180</v>
      </c>
      <c r="C68" s="40">
        <v>46260.367035798612</v>
      </c>
      <c r="D68" s="40">
        <v>46252.623274583333</v>
      </c>
      <c r="E68" s="40">
        <v>46260.367017326389</v>
      </c>
      <c r="F68" t="s">
        <v>181</v>
      </c>
    </row>
    <row r="69" spans="1:6" x14ac:dyDescent="0.25">
      <c r="A69" t="s">
        <v>248</v>
      </c>
      <c r="B69" t="s">
        <v>180</v>
      </c>
      <c r="C69" s="40">
        <v>46260.367036122683</v>
      </c>
      <c r="D69" s="40">
        <v>46252.622157500002</v>
      </c>
      <c r="E69" s="40">
        <v>46260.367017349534</v>
      </c>
      <c r="F69" t="s">
        <v>181</v>
      </c>
    </row>
    <row r="70" spans="1:6" x14ac:dyDescent="0.25">
      <c r="A70" t="s">
        <v>249</v>
      </c>
      <c r="B70" t="s">
        <v>180</v>
      </c>
      <c r="C70" s="40">
        <v>46260.36703642361</v>
      </c>
      <c r="D70" s="40">
        <v>46252.439679571762</v>
      </c>
      <c r="E70" s="40">
        <v>46260.367017349534</v>
      </c>
      <c r="F70" t="s">
        <v>181</v>
      </c>
    </row>
    <row r="71" spans="1:6" x14ac:dyDescent="0.25">
      <c r="A71" t="s">
        <v>250</v>
      </c>
      <c r="B71" t="s">
        <v>180</v>
      </c>
      <c r="C71" s="40">
        <v>46260.367036724536</v>
      </c>
      <c r="D71" s="40">
        <v>46259.664209768518</v>
      </c>
      <c r="E71" s="40">
        <v>46260.36701736111</v>
      </c>
      <c r="F71" t="s">
        <v>181</v>
      </c>
    </row>
    <row r="72" spans="1:6" x14ac:dyDescent="0.25">
      <c r="A72" t="s">
        <v>251</v>
      </c>
      <c r="B72" t="s">
        <v>180</v>
      </c>
      <c r="C72" s="40">
        <v>46260.367037025462</v>
      </c>
      <c r="D72" s="40">
        <v>46259.664229085647</v>
      </c>
      <c r="E72" s="40">
        <v>46260.367017384262</v>
      </c>
      <c r="F72" t="s">
        <v>181</v>
      </c>
    </row>
    <row r="73" spans="1:6" x14ac:dyDescent="0.25">
      <c r="A73" t="s">
        <v>252</v>
      </c>
      <c r="B73" t="s">
        <v>180</v>
      </c>
      <c r="C73" s="40">
        <v>46260.367037268516</v>
      </c>
      <c r="D73" s="40">
        <v>46252.43906759259</v>
      </c>
      <c r="E73" s="40">
        <v>46260.367017384262</v>
      </c>
      <c r="F73" t="s">
        <v>181</v>
      </c>
    </row>
    <row r="74" spans="1:6" x14ac:dyDescent="0.25">
      <c r="A74" t="s">
        <v>253</v>
      </c>
      <c r="B74" t="s">
        <v>180</v>
      </c>
      <c r="C74" s="40">
        <v>46260.367037557873</v>
      </c>
      <c r="D74" s="40">
        <v>46252.438342037036</v>
      </c>
      <c r="E74" s="40">
        <v>46260.367017407407</v>
      </c>
      <c r="F74" t="s">
        <v>181</v>
      </c>
    </row>
    <row r="75" spans="1:6" x14ac:dyDescent="0.25">
      <c r="A75" t="s">
        <v>254</v>
      </c>
      <c r="B75" t="s">
        <v>180</v>
      </c>
      <c r="C75" s="40">
        <v>46260.367037835647</v>
      </c>
      <c r="D75" s="40">
        <v>46252.437670555555</v>
      </c>
      <c r="E75" s="40">
        <v>46260.367017418983</v>
      </c>
      <c r="F75" t="s">
        <v>181</v>
      </c>
    </row>
    <row r="76" spans="1:6" x14ac:dyDescent="0.25">
      <c r="A76" t="s">
        <v>255</v>
      </c>
      <c r="B76" t="s">
        <v>180</v>
      </c>
      <c r="C76" s="40">
        <v>46260.367038113429</v>
      </c>
      <c r="D76" s="40">
        <v>46252.437055324073</v>
      </c>
      <c r="E76" s="40">
        <v>46260.367017430559</v>
      </c>
      <c r="F76" t="s">
        <v>181</v>
      </c>
    </row>
    <row r="77" spans="1:6" x14ac:dyDescent="0.25">
      <c r="A77" t="s">
        <v>256</v>
      </c>
      <c r="B77" t="s">
        <v>180</v>
      </c>
      <c r="C77" s="40">
        <v>46260.367038391203</v>
      </c>
      <c r="D77" s="40">
        <v>46252.436482951387</v>
      </c>
      <c r="E77" s="40">
        <v>46260.367017442128</v>
      </c>
      <c r="F77" t="s">
        <v>181</v>
      </c>
    </row>
    <row r="78" spans="1:6" x14ac:dyDescent="0.25">
      <c r="A78" t="s">
        <v>257</v>
      </c>
      <c r="B78" t="s">
        <v>180</v>
      </c>
      <c r="C78" s="40">
        <v>46260.367038668985</v>
      </c>
      <c r="D78" s="40">
        <v>46252.435844386571</v>
      </c>
      <c r="E78" s="40">
        <v>46260.367017453704</v>
      </c>
      <c r="F78" t="s">
        <v>181</v>
      </c>
    </row>
    <row r="79" spans="1:6" x14ac:dyDescent="0.25">
      <c r="A79" t="s">
        <v>258</v>
      </c>
      <c r="B79" t="s">
        <v>180</v>
      </c>
      <c r="C79" s="40">
        <v>46260.367038946759</v>
      </c>
      <c r="D79" s="40">
        <v>46252.431494884258</v>
      </c>
      <c r="E79" s="40">
        <v>46260.36701746528</v>
      </c>
      <c r="F79" t="s">
        <v>181</v>
      </c>
    </row>
    <row r="80" spans="1:6" x14ac:dyDescent="0.25">
      <c r="A80" t="s">
        <v>259</v>
      </c>
      <c r="B80" t="s">
        <v>180</v>
      </c>
      <c r="C80" s="40">
        <v>46260.36703922454</v>
      </c>
      <c r="D80" s="40">
        <v>46252.430510370374</v>
      </c>
      <c r="E80" s="40">
        <v>46260.367017488425</v>
      </c>
      <c r="F80" t="s">
        <v>181</v>
      </c>
    </row>
    <row r="81" spans="1:6" x14ac:dyDescent="0.25">
      <c r="A81" t="s">
        <v>260</v>
      </c>
      <c r="B81" t="s">
        <v>180</v>
      </c>
      <c r="C81" s="40">
        <v>46260.367039502315</v>
      </c>
      <c r="D81" s="40">
        <v>46252.429902546297</v>
      </c>
      <c r="E81" s="40">
        <v>46260.367017500001</v>
      </c>
      <c r="F81" t="s">
        <v>181</v>
      </c>
    </row>
    <row r="82" spans="1:6" x14ac:dyDescent="0.25">
      <c r="A82" t="s">
        <v>261</v>
      </c>
      <c r="B82" t="s">
        <v>180</v>
      </c>
      <c r="C82" s="40">
        <v>46260.36703976852</v>
      </c>
      <c r="D82" s="40">
        <v>46252.429428009258</v>
      </c>
      <c r="E82" s="40">
        <v>46260.367017511577</v>
      </c>
      <c r="F82" t="s">
        <v>181</v>
      </c>
    </row>
    <row r="83" spans="1:6" x14ac:dyDescent="0.25">
      <c r="A83" t="s">
        <v>262</v>
      </c>
      <c r="B83" t="s">
        <v>180</v>
      </c>
      <c r="C83" s="40">
        <v>46260.36704005787</v>
      </c>
      <c r="D83" s="40">
        <v>46252.424558576386</v>
      </c>
      <c r="E83" s="40">
        <v>46260.367017534722</v>
      </c>
      <c r="F83" t="s">
        <v>181</v>
      </c>
    </row>
    <row r="84" spans="1:6" x14ac:dyDescent="0.25">
      <c r="A84" t="s">
        <v>263</v>
      </c>
      <c r="B84" t="s">
        <v>180</v>
      </c>
      <c r="C84" s="40">
        <v>46260.367040335645</v>
      </c>
      <c r="D84" s="40">
        <v>46252.422808912037</v>
      </c>
      <c r="E84" s="40">
        <v>46260.367017546298</v>
      </c>
      <c r="F84" t="s">
        <v>181</v>
      </c>
    </row>
    <row r="85" spans="1:6" x14ac:dyDescent="0.25">
      <c r="A85" t="s">
        <v>264</v>
      </c>
      <c r="B85" t="s">
        <v>180</v>
      </c>
      <c r="C85" s="40">
        <v>46260.367040613426</v>
      </c>
      <c r="D85" s="40">
        <v>46252.422205069444</v>
      </c>
      <c r="E85" s="40">
        <v>46260.367017557874</v>
      </c>
      <c r="F85" t="s">
        <v>181</v>
      </c>
    </row>
    <row r="86" spans="1:6" x14ac:dyDescent="0.25">
      <c r="A86" t="s">
        <v>265</v>
      </c>
      <c r="B86" t="s">
        <v>180</v>
      </c>
      <c r="C86" s="40">
        <v>46260.367040902776</v>
      </c>
      <c r="D86" s="40">
        <v>46252.421565416669</v>
      </c>
      <c r="E86" s="40">
        <v>46260.367017569442</v>
      </c>
      <c r="F86" t="s">
        <v>181</v>
      </c>
    </row>
    <row r="87" spans="1:6" x14ac:dyDescent="0.25">
      <c r="A87" t="s">
        <v>266</v>
      </c>
      <c r="B87" t="s">
        <v>180</v>
      </c>
      <c r="C87" s="40">
        <v>46260.367041168982</v>
      </c>
      <c r="D87" s="40">
        <v>46252.420891770831</v>
      </c>
      <c r="E87" s="40">
        <v>46260.367017581018</v>
      </c>
      <c r="F87" t="s">
        <v>181</v>
      </c>
    </row>
    <row r="88" spans="1:6" x14ac:dyDescent="0.25">
      <c r="A88" t="s">
        <v>267</v>
      </c>
      <c r="B88" t="s">
        <v>180</v>
      </c>
      <c r="C88" s="40">
        <v>46260.367041446756</v>
      </c>
      <c r="D88" s="40">
        <v>46252.419302141207</v>
      </c>
      <c r="E88" s="40">
        <v>46260.367017592594</v>
      </c>
      <c r="F88" t="s">
        <v>181</v>
      </c>
    </row>
    <row r="89" spans="1:6" x14ac:dyDescent="0.25">
      <c r="A89" t="s">
        <v>268</v>
      </c>
      <c r="B89" t="s">
        <v>180</v>
      </c>
      <c r="C89" s="40">
        <v>46260.367041724538</v>
      </c>
      <c r="D89" s="40">
        <v>46252.418593414353</v>
      </c>
      <c r="E89" s="40">
        <v>46260.367017604163</v>
      </c>
      <c r="F89" t="s">
        <v>181</v>
      </c>
    </row>
    <row r="90" spans="1:6" x14ac:dyDescent="0.25">
      <c r="A90" t="s">
        <v>269</v>
      </c>
      <c r="B90" t="s">
        <v>180</v>
      </c>
      <c r="C90" s="40">
        <v>46260.367042025464</v>
      </c>
      <c r="D90" s="40">
        <v>46252.628078009257</v>
      </c>
      <c r="E90" s="40">
        <v>46260.367017615739</v>
      </c>
      <c r="F90" t="s">
        <v>181</v>
      </c>
    </row>
    <row r="91" spans="1:6" x14ac:dyDescent="0.25">
      <c r="A91" t="s">
        <v>270</v>
      </c>
      <c r="B91" t="s">
        <v>180</v>
      </c>
      <c r="C91" s="40">
        <v>46260.367042303238</v>
      </c>
      <c r="D91" s="40">
        <v>46252.417729699075</v>
      </c>
      <c r="E91" s="40">
        <v>46260.367017627315</v>
      </c>
      <c r="F91" t="s">
        <v>181</v>
      </c>
    </row>
    <row r="92" spans="1:6" x14ac:dyDescent="0.25">
      <c r="A92" t="s">
        <v>271</v>
      </c>
      <c r="B92" t="s">
        <v>180</v>
      </c>
      <c r="C92" s="40">
        <v>46260.36704258102</v>
      </c>
      <c r="D92" s="40">
        <v>46252.417189328706</v>
      </c>
      <c r="E92" s="40">
        <v>46260.367017638891</v>
      </c>
      <c r="F92" t="s">
        <v>181</v>
      </c>
    </row>
    <row r="93" spans="1:6" x14ac:dyDescent="0.25">
      <c r="A93" t="s">
        <v>272</v>
      </c>
      <c r="B93" t="s">
        <v>180</v>
      </c>
      <c r="C93" s="40">
        <v>46260.36704287037</v>
      </c>
      <c r="D93" s="40">
        <v>46252.415572754631</v>
      </c>
      <c r="E93" s="40">
        <v>46260.36701765046</v>
      </c>
      <c r="F93" t="s">
        <v>181</v>
      </c>
    </row>
    <row r="94" spans="1:6" x14ac:dyDescent="0.25">
      <c r="A94" t="s">
        <v>273</v>
      </c>
      <c r="B94" t="s">
        <v>180</v>
      </c>
      <c r="C94" s="40">
        <v>46260.36704315972</v>
      </c>
      <c r="D94" s="40">
        <v>46252.414138842592</v>
      </c>
      <c r="E94" s="40">
        <v>46260.367017662036</v>
      </c>
      <c r="F94" t="s">
        <v>181</v>
      </c>
    </row>
    <row r="95" spans="1:6" x14ac:dyDescent="0.25">
      <c r="A95" t="s">
        <v>274</v>
      </c>
      <c r="B95" t="s">
        <v>180</v>
      </c>
      <c r="C95" s="40">
        <v>46260.367043437502</v>
      </c>
      <c r="D95" s="40">
        <v>46252.420146689816</v>
      </c>
      <c r="E95" s="40">
        <v>46260.367017673612</v>
      </c>
      <c r="F95" t="s">
        <v>181</v>
      </c>
    </row>
    <row r="96" spans="1:6" x14ac:dyDescent="0.25">
      <c r="A96" t="s">
        <v>275</v>
      </c>
      <c r="B96" t="s">
        <v>276</v>
      </c>
      <c r="C96" s="40">
        <v>46260.450554629628</v>
      </c>
      <c r="D96" s="40">
        <v>46260.450554722222</v>
      </c>
      <c r="E96" s="40">
        <v>46260.450554629628</v>
      </c>
      <c r="F96" t="s">
        <v>181</v>
      </c>
    </row>
    <row r="97" spans="1:6" x14ac:dyDescent="0.25">
      <c r="A97" t="s">
        <v>277</v>
      </c>
      <c r="B97" t="s">
        <v>276</v>
      </c>
      <c r="C97" s="40">
        <v>46260.450678043984</v>
      </c>
      <c r="D97" s="40">
        <v>46260.450690219906</v>
      </c>
      <c r="E97" s="40">
        <v>46260.449593877318</v>
      </c>
      <c r="F97" t="s">
        <v>181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BBD1-E11B-4A9B-854C-BDEA7560D0FC}">
  <dimension ref="B1:L105"/>
  <sheetViews>
    <sheetView workbookViewId="0">
      <selection activeCell="H1" sqref="H1:I1048576"/>
    </sheetView>
  </sheetViews>
  <sheetFormatPr defaultRowHeight="15" x14ac:dyDescent="0.25"/>
  <cols>
    <col min="2" max="2" width="42.28515625" customWidth="1"/>
    <col min="3" max="3" width="47.42578125" customWidth="1"/>
    <col min="4" max="4" width="5.42578125" customWidth="1"/>
    <col min="5" max="5" width="19.140625" customWidth="1"/>
    <col min="6" max="6" width="30.85546875" customWidth="1"/>
    <col min="7" max="7" width="15.140625" customWidth="1"/>
    <col min="8" max="8" width="17.28515625" customWidth="1"/>
    <col min="11" max="11" width="24.28515625" style="2" customWidth="1"/>
    <col min="12" max="12" width="30.140625" style="2" customWidth="1"/>
  </cols>
  <sheetData>
    <row r="1" spans="2:12" x14ac:dyDescent="0.25">
      <c r="D1" t="s">
        <v>283</v>
      </c>
      <c r="E1" t="s">
        <v>282</v>
      </c>
      <c r="F1" t="s">
        <v>284</v>
      </c>
      <c r="J1" s="19">
        <v>1</v>
      </c>
      <c r="K1" s="14" t="s">
        <v>4</v>
      </c>
      <c r="L1" s="14" t="s">
        <v>0</v>
      </c>
    </row>
    <row r="2" spans="2:12" x14ac:dyDescent="0.25">
      <c r="B2" t="s">
        <v>179</v>
      </c>
      <c r="C2" t="s">
        <v>181</v>
      </c>
      <c r="E2" t="s">
        <v>22</v>
      </c>
      <c r="F2" t="s">
        <v>23</v>
      </c>
      <c r="G2" t="str">
        <f>CONCATENATE($E$1,C2,B2,$D$1,E2,$F$1)</f>
        <v>ГИПЕРССЫЛКА("\\mycloudpr2100\ПДО учет\ММЗ\Проект 12560\12560.016.00 СБ Хомут (А4х3).pdf";"12560.016.00СБ")</v>
      </c>
      <c r="H2" s="9" t="str">
        <f>HYPERLINK("\\mycloudpr2100\ПДО учет\ММЗ\Проект 12560\12560.016.00 СБ Хомут (А4х3).pdf","12560.016.00СБ")</f>
        <v>12560.016.00СБ</v>
      </c>
      <c r="I2" s="9" t="str">
        <f>HYPERLINK("\\mycloudpr2100\ПДО учет\ММЗ\Проект 12560\12560.016.00 Хомут (А4).pdf","Хомут")</f>
        <v>Хомут</v>
      </c>
      <c r="J2" s="19">
        <v>2</v>
      </c>
      <c r="K2" s="30" t="s">
        <v>22</v>
      </c>
      <c r="L2" s="30" t="s">
        <v>23</v>
      </c>
    </row>
    <row r="3" spans="2:12" x14ac:dyDescent="0.25">
      <c r="B3" t="s">
        <v>182</v>
      </c>
      <c r="C3" t="s">
        <v>181</v>
      </c>
      <c r="E3" t="s">
        <v>285</v>
      </c>
      <c r="F3" t="s">
        <v>23</v>
      </c>
      <c r="G3" t="str">
        <f>CONCATENATE($E$1,C3,B3,$D$1,F3,$F$1)</f>
        <v>ГИПЕРССЫЛКА("\\mycloudpr2100\ПДО учет\ММЗ\Проект 12560\12560.016.00 Хомут (А4).pdf";"Хомут")</v>
      </c>
      <c r="J3" s="19">
        <v>3</v>
      </c>
      <c r="K3" s="25" t="s">
        <v>24</v>
      </c>
      <c r="L3" s="25" t="s">
        <v>25</v>
      </c>
    </row>
    <row r="4" spans="2:12" x14ac:dyDescent="0.25">
      <c r="B4" t="s">
        <v>183</v>
      </c>
      <c r="C4" t="s">
        <v>181</v>
      </c>
      <c r="E4" t="s">
        <v>278</v>
      </c>
      <c r="F4" t="s">
        <v>25</v>
      </c>
      <c r="G4" t="str">
        <f t="shared" ref="G4:G66" si="0">CONCATENATE($E$1,C4,B4,$D$1,E4,$F$1)</f>
        <v>ГИПЕРССЫЛКА("\\mycloudpr2100\ПДО учет\ММЗ\Проект 12560\12560.016.01 Валик (А4).pdf";"12560.016.01")</v>
      </c>
      <c r="H4" s="9" t="str">
        <f>HYPERLINK("\\mycloudpr2100\ПДО учет\ММЗ\Проект 12560\12560.016.01 Валик (А4).pdf","12560.016.01")</f>
        <v>12560.016.01</v>
      </c>
      <c r="J4" s="19">
        <v>4</v>
      </c>
      <c r="K4" s="25" t="s">
        <v>26</v>
      </c>
      <c r="L4" s="25" t="s">
        <v>25</v>
      </c>
    </row>
    <row r="5" spans="2:12" x14ac:dyDescent="0.25">
      <c r="B5" t="s">
        <v>184</v>
      </c>
      <c r="C5" t="s">
        <v>181</v>
      </c>
      <c r="E5" t="s">
        <v>27</v>
      </c>
      <c r="F5" t="s">
        <v>28</v>
      </c>
      <c r="G5" t="str">
        <f t="shared" si="0"/>
        <v>ГИПЕРССЫЛКА("\\mycloudpr2100\ПДО учет\ММЗ\Проект 12560\12560.016.02 Шпилька (А4).pdf";"12560.016.02")</v>
      </c>
      <c r="H5" s="9" t="str">
        <f>HYPERLINK("\\mycloudpr2100\ПДО учет\ММЗ\Проект 12560\12560.016.02 Шпилька (А4).pdf","12560.016.02")</f>
        <v>12560.016.02</v>
      </c>
      <c r="J5" s="19">
        <v>5</v>
      </c>
      <c r="K5" s="25" t="s">
        <v>27</v>
      </c>
      <c r="L5" s="25" t="s">
        <v>28</v>
      </c>
    </row>
    <row r="6" spans="2:12" x14ac:dyDescent="0.25">
      <c r="B6" t="s">
        <v>185</v>
      </c>
      <c r="C6" t="s">
        <v>181</v>
      </c>
      <c r="E6" t="s">
        <v>31</v>
      </c>
      <c r="F6" t="s">
        <v>32</v>
      </c>
      <c r="G6" t="str">
        <f t="shared" si="0"/>
        <v>ГИПЕРССЫЛКА("\\mycloudpr2100\ПДО учет\ММЗ\Проект 12560\12560.017.01 Кронштейн (А2).pdf";"12560.017.01")</v>
      </c>
      <c r="H6" s="9" t="str">
        <f>HYPERLINK("\\mycloudpr2100\ПДО учет\ММЗ\Проект 12560\12560.017.01 Кронштейн (А2).pdf","12560.017.01")</f>
        <v>12560.017.01</v>
      </c>
      <c r="J6" s="19">
        <v>6</v>
      </c>
      <c r="K6" s="25" t="s">
        <v>29</v>
      </c>
      <c r="L6" s="25" t="s">
        <v>30</v>
      </c>
    </row>
    <row r="7" spans="2:12" x14ac:dyDescent="0.25">
      <c r="B7" t="s">
        <v>186</v>
      </c>
      <c r="C7" t="s">
        <v>181</v>
      </c>
      <c r="E7" t="s">
        <v>33</v>
      </c>
      <c r="F7" t="s">
        <v>279</v>
      </c>
      <c r="G7" t="str">
        <f t="shared" si="0"/>
        <v>ГИПЕРССЫЛКА("\\mycloudpr2100\ПДО учет\ММЗ\Проект 12560\12560.140.01 Кронтейн термостата (А3).pdf";"12560.140.01")</v>
      </c>
      <c r="H7" s="9" t="str">
        <f>HYPERLINK("\\mycloudpr2100\ПДО учет\ММЗ\Проект 12560\12560.140.01 Кронтейн термостата (А3).pdf","12560.140.01")</f>
        <v>12560.140.01</v>
      </c>
      <c r="J7" s="19">
        <v>7</v>
      </c>
      <c r="K7" s="25" t="s">
        <v>31</v>
      </c>
      <c r="L7" s="25" t="s">
        <v>32</v>
      </c>
    </row>
    <row r="8" spans="2:12" x14ac:dyDescent="0.25">
      <c r="B8" t="s">
        <v>187</v>
      </c>
      <c r="C8" t="s">
        <v>181</v>
      </c>
      <c r="E8" t="s">
        <v>35</v>
      </c>
      <c r="F8" t="s">
        <v>36</v>
      </c>
      <c r="G8" t="str">
        <f t="shared" si="0"/>
        <v>ГИПЕРССЫЛКА("\\mycloudpr2100\ПДО учет\ММЗ\Проект 12560\12560.142.03 Уголок (А4).pdf";"12560.142.03")</v>
      </c>
      <c r="H8" s="9" t="str">
        <f>HYPERLINK("\\mycloudpr2100\ПДО учет\ММЗ\Проект 12560\12560.142.03 Уголок (А4).pdf","12560.142.03")</f>
        <v>12560.142.03</v>
      </c>
      <c r="J8" s="19">
        <v>8</v>
      </c>
      <c r="K8" s="25" t="s">
        <v>31</v>
      </c>
      <c r="L8" s="25" t="s">
        <v>32</v>
      </c>
    </row>
    <row r="9" spans="2:12" x14ac:dyDescent="0.25">
      <c r="B9" t="s">
        <v>188</v>
      </c>
      <c r="C9" t="s">
        <v>181</v>
      </c>
      <c r="E9" t="s">
        <v>38</v>
      </c>
      <c r="F9" t="s">
        <v>32</v>
      </c>
      <c r="G9" t="str">
        <f t="shared" si="0"/>
        <v>ГИПЕРССЫЛКА("\\mycloudpr2100\ПДО учет\ММЗ\Проект 12560\12560.142.04 Кронштейн (А3х3).pdf";"12560.142.04")</v>
      </c>
      <c r="H9" s="9" t="str">
        <f>HYPERLINK("\\mycloudpr2100\ПДО учет\ММЗ\Проект 12560\12560.142.04 Кронштейн (А3х3).pdf","12560.142.04")</f>
        <v>12560.142.04</v>
      </c>
      <c r="J9" s="19">
        <v>9</v>
      </c>
      <c r="K9" s="25" t="s">
        <v>33</v>
      </c>
      <c r="L9" s="25" t="s">
        <v>34</v>
      </c>
    </row>
    <row r="10" spans="2:12" x14ac:dyDescent="0.25">
      <c r="B10" t="s">
        <v>189</v>
      </c>
      <c r="C10" t="s">
        <v>181</v>
      </c>
      <c r="E10" t="s">
        <v>39</v>
      </c>
      <c r="F10" t="s">
        <v>40</v>
      </c>
      <c r="G10" t="str">
        <f t="shared" si="0"/>
        <v>ГИПЕРССЫЛКА("\\mycloudpr2100\ПДО учет\ММЗ\Проект 12560\12560.205.02 Гайка (А4).pdf";"12560.205.02")</v>
      </c>
      <c r="H10" s="9" t="str">
        <f>HYPERLINK("\\mycloudpr2100\ПДО учет\ММЗ\Проект 12560\12560.205.02 Гайка (А4).pdf","12560.205.02")</f>
        <v>12560.205.02</v>
      </c>
      <c r="J10" s="19">
        <v>10</v>
      </c>
      <c r="K10" s="25" t="s">
        <v>35</v>
      </c>
      <c r="L10" s="25" t="s">
        <v>36</v>
      </c>
    </row>
    <row r="11" spans="2:12" x14ac:dyDescent="0.25">
      <c r="B11" t="s">
        <v>190</v>
      </c>
      <c r="C11" t="s">
        <v>181</v>
      </c>
      <c r="E11" t="s">
        <v>41</v>
      </c>
      <c r="F11" t="s">
        <v>42</v>
      </c>
      <c r="G11" t="str">
        <f t="shared" si="0"/>
        <v>ГИПЕРССЫЛКА("\\mycloudpr2100\ПДО учет\ММЗ\Проект 12560\12560.209.01 Крюк (А2).pdf";"12560.209.01")</v>
      </c>
      <c r="H11" s="9" t="str">
        <f>HYPERLINK("\\mycloudpr2100\ПДО учет\ММЗ\Проект 12560\12560.209.01 Крюк (А2).pdf","12560.209.01")</f>
        <v>12560.209.01</v>
      </c>
      <c r="J11" s="19">
        <v>11</v>
      </c>
      <c r="K11" s="25" t="s">
        <v>37</v>
      </c>
      <c r="L11" s="25" t="s">
        <v>36</v>
      </c>
    </row>
    <row r="12" spans="2:12" x14ac:dyDescent="0.25">
      <c r="B12" t="s">
        <v>191</v>
      </c>
      <c r="C12" t="s">
        <v>181</v>
      </c>
      <c r="E12" t="s">
        <v>44</v>
      </c>
      <c r="F12" t="s">
        <v>36</v>
      </c>
      <c r="G12" t="str">
        <f t="shared" si="0"/>
        <v>ГИПЕРССЫЛКА("\\mycloudpr2100\ПДО учет\ММЗ\Проект 12560\12560.210.02 Уголок (А3).pdf";"12560.210.02")</v>
      </c>
      <c r="H12" s="9" t="str">
        <f>HYPERLINK("\\mycloudpr2100\ПДО учет\ММЗ\Проект 12560\12560.210.02 Уголок (А3).pdf","12560.210.02")</f>
        <v>12560.210.02</v>
      </c>
      <c r="J12" s="19">
        <v>12</v>
      </c>
      <c r="K12" s="25" t="s">
        <v>38</v>
      </c>
      <c r="L12" s="25" t="s">
        <v>32</v>
      </c>
    </row>
    <row r="13" spans="2:12" x14ac:dyDescent="0.25">
      <c r="B13" t="s">
        <v>192</v>
      </c>
      <c r="C13" t="s">
        <v>181</v>
      </c>
      <c r="E13" t="s">
        <v>286</v>
      </c>
      <c r="F13" t="s">
        <v>46</v>
      </c>
      <c r="G13" t="str">
        <f>CONCATENATE($E$1,C13,B13,$D$1,F13,$F$1)</f>
        <v>ГИПЕРССЫЛКА("\\mycloudpr2100\ПДО учет\ММЗ\Проект 12560\12560.213.00 Крышка люка (А4).pdf";"Крышка люка")</v>
      </c>
      <c r="J13" s="19">
        <v>13</v>
      </c>
      <c r="K13" s="25" t="s">
        <v>39</v>
      </c>
      <c r="L13" s="25" t="s">
        <v>40</v>
      </c>
    </row>
    <row r="14" spans="2:12" x14ac:dyDescent="0.25">
      <c r="B14" t="s">
        <v>193</v>
      </c>
      <c r="C14" t="s">
        <v>181</v>
      </c>
      <c r="E14" t="s">
        <v>45</v>
      </c>
      <c r="F14" t="s">
        <v>46</v>
      </c>
      <c r="G14" t="str">
        <f t="shared" si="0"/>
        <v>ГИПЕРССЫЛКА("\\mycloudpr2100\ПДО учет\ММЗ\Проект 12560\12560.213.00 СБ Крышка люка (А3х3).pdf";"12560.213.00СБ")</v>
      </c>
      <c r="H14" s="9" t="str">
        <f>HYPERLINK("\\mycloudpr2100\ПДО учет\ММЗ\Проект 12560\12560.213.00 СБ Крышка люка (А3х3).pdf","12560.213.00СБ")</f>
        <v>12560.213.00СБ</v>
      </c>
      <c r="I14" s="9" t="str">
        <f>HYPERLINK("\\mycloudpr2100\ПДО учет\ММЗ\Проект 12560\12560.213.00 Крышка люка (А4).pdf","Крышка люка")</f>
        <v>Крышка люка</v>
      </c>
      <c r="J14" s="19">
        <v>14</v>
      </c>
      <c r="K14" s="25" t="s">
        <v>41</v>
      </c>
      <c r="L14" s="25" t="s">
        <v>42</v>
      </c>
    </row>
    <row r="15" spans="2:12" x14ac:dyDescent="0.25">
      <c r="B15" t="s">
        <v>194</v>
      </c>
      <c r="C15" t="s">
        <v>181</v>
      </c>
      <c r="E15" t="s">
        <v>49</v>
      </c>
      <c r="F15" t="s">
        <v>50</v>
      </c>
      <c r="G15" t="str">
        <f t="shared" si="0"/>
        <v>ГИПЕРССЫЛКА("\\mycloudpr2100\ПДО учет\ММЗ\Проект 12560\12560.222.02 Накладка (А3).pdf";"12560.222.02")</v>
      </c>
      <c r="H15" s="9" t="str">
        <f>HYPERLINK("\\mycloudpr2100\ПДО учет\ММЗ\Проект 12560\12560.222.02 Накладка (А3).pdf","12560.222.02")</f>
        <v>12560.222.02</v>
      </c>
      <c r="J15" s="19">
        <v>15</v>
      </c>
      <c r="K15" s="25" t="s">
        <v>43</v>
      </c>
      <c r="L15" s="25" t="s">
        <v>42</v>
      </c>
    </row>
    <row r="16" spans="2:12" x14ac:dyDescent="0.25">
      <c r="B16" t="s">
        <v>195</v>
      </c>
      <c r="C16" t="s">
        <v>181</v>
      </c>
      <c r="E16" t="s">
        <v>51</v>
      </c>
      <c r="F16" t="s">
        <v>50</v>
      </c>
      <c r="G16" t="str">
        <f t="shared" si="0"/>
        <v>ГИПЕРССЫЛКА("\\mycloudpr2100\ПДО учет\ММЗ\Проект 12560\12560.222.03 Накладка (А3).pdf";"12560.222.03")</v>
      </c>
      <c r="H16" s="9" t="str">
        <f>HYPERLINK("\\mycloudpr2100\ПДО учет\ММЗ\Проект 12560\12560.222.03 Накладка (А3).pdf","12560.222.03")</f>
        <v>12560.222.03</v>
      </c>
      <c r="J16" s="19">
        <v>16</v>
      </c>
      <c r="K16" s="25" t="s">
        <v>44</v>
      </c>
      <c r="L16" s="25" t="s">
        <v>36</v>
      </c>
    </row>
    <row r="17" spans="2:12" x14ac:dyDescent="0.25">
      <c r="B17" t="s">
        <v>196</v>
      </c>
      <c r="C17" t="s">
        <v>181</v>
      </c>
      <c r="E17" t="s">
        <v>52</v>
      </c>
      <c r="F17" t="s">
        <v>32</v>
      </c>
      <c r="G17" t="str">
        <f t="shared" si="0"/>
        <v>ГИПЕРССЫЛКА("\\mycloudpr2100\ПДО учет\ММЗ\Проект 12560\12560.240.06 Кронштейн (А2).pdf";"12560.240.06")</v>
      </c>
      <c r="H17" s="9" t="str">
        <f>HYPERLINK("\\mycloudpr2100\ПДО учет\ММЗ\Проект 12560\12560.240.06 Кронштейн (А2).pdf","12560.240.06")</f>
        <v>12560.240.06</v>
      </c>
      <c r="J17" s="19">
        <v>17</v>
      </c>
      <c r="K17" s="30" t="s">
        <v>45</v>
      </c>
      <c r="L17" s="30" t="s">
        <v>46</v>
      </c>
    </row>
    <row r="18" spans="2:12" x14ac:dyDescent="0.25">
      <c r="B18" t="s">
        <v>197</v>
      </c>
      <c r="C18" t="s">
        <v>181</v>
      </c>
      <c r="E18" t="s">
        <v>54</v>
      </c>
      <c r="F18" t="s">
        <v>32</v>
      </c>
      <c r="G18" t="str">
        <f t="shared" si="0"/>
        <v>ГИПЕРССЫЛКА("\\mycloudpr2100\ПДО учет\ММЗ\Проект 12560\12560.243.01 Кронштейн (А4х3).pdf";"12560.243.01")</v>
      </c>
      <c r="H18" s="9" t="str">
        <f>HYPERLINK("\\mycloudpr2100\ПДО учет\ММЗ\Проект 12560\12560.243.01 Кронштейн (А4х3).pdf","12560.243.01")</f>
        <v>12560.243.01</v>
      </c>
      <c r="J18" s="19">
        <v>18</v>
      </c>
      <c r="K18" s="27" t="s">
        <v>47</v>
      </c>
      <c r="L18" s="25" t="s">
        <v>46</v>
      </c>
    </row>
    <row r="19" spans="2:12" x14ac:dyDescent="0.25">
      <c r="B19" t="s">
        <v>198</v>
      </c>
      <c r="C19" t="s">
        <v>181</v>
      </c>
      <c r="E19" t="s">
        <v>55</v>
      </c>
      <c r="F19" t="s">
        <v>56</v>
      </c>
      <c r="G19" t="str">
        <f t="shared" si="0"/>
        <v>ГИПЕРССЫЛКА("\\mycloudpr2100\ПДО учет\ММЗ\Проект 12560\12560.245.01 Кронштейн привода (А4х3).pdf";"12560.245.01")</v>
      </c>
      <c r="H19" s="9" t="str">
        <f>HYPERLINK("\\mycloudpr2100\ПДО учет\ММЗ\Проект 12560\12560.245.01 Кронштейн привода (А4х3).pdf","12560.245.01")</f>
        <v>12560.245.01</v>
      </c>
      <c r="J19" s="19">
        <v>19</v>
      </c>
      <c r="K19" s="27" t="s">
        <v>47</v>
      </c>
      <c r="L19" s="25" t="s">
        <v>48</v>
      </c>
    </row>
    <row r="20" spans="2:12" x14ac:dyDescent="0.25">
      <c r="B20" t="s">
        <v>199</v>
      </c>
      <c r="C20" t="s">
        <v>181</v>
      </c>
      <c r="E20" t="s">
        <v>57</v>
      </c>
      <c r="F20" t="s">
        <v>58</v>
      </c>
      <c r="G20" t="str">
        <f t="shared" si="0"/>
        <v>ГИПЕРССЫЛКА("\\mycloudpr2100\ПДО учет\ММЗ\Проект 12560\12560.245.02 Кронштейн киля (А4х3).pdf";"12560.245.02")</v>
      </c>
      <c r="H20" s="9" t="str">
        <f>HYPERLINK("\\mycloudpr2100\ПДО учет\ММЗ\Проект 12560\12560.245.02 Кронштейн киля (А4х3).pdf","12560.245.02")</f>
        <v>12560.245.02</v>
      </c>
      <c r="J20" s="19">
        <v>20</v>
      </c>
      <c r="K20" s="25" t="s">
        <v>49</v>
      </c>
      <c r="L20" s="25" t="s">
        <v>50</v>
      </c>
    </row>
    <row r="21" spans="2:12" x14ac:dyDescent="0.25">
      <c r="B21" t="s">
        <v>200</v>
      </c>
      <c r="C21" t="s">
        <v>181</v>
      </c>
      <c r="E21" t="s">
        <v>287</v>
      </c>
      <c r="F21" t="s">
        <v>60</v>
      </c>
      <c r="G21" t="str">
        <f>CONCATENATE($E$1,C21,B21,$D$1,F21,$F$1)</f>
        <v>ГИПЕРССЫЛКА("\\mycloudpr2100\ПДО учет\ММЗ\Проект 12560\12560.247.00 Площадка (А4).pdf";"Площадка")</v>
      </c>
      <c r="J21" s="19">
        <v>21</v>
      </c>
      <c r="K21" s="25" t="s">
        <v>51</v>
      </c>
      <c r="L21" s="25" t="s">
        <v>50</v>
      </c>
    </row>
    <row r="22" spans="2:12" x14ac:dyDescent="0.25">
      <c r="B22" t="s">
        <v>201</v>
      </c>
      <c r="C22" t="s">
        <v>181</v>
      </c>
      <c r="E22" t="s">
        <v>59</v>
      </c>
      <c r="F22" t="s">
        <v>60</v>
      </c>
      <c r="G22" t="str">
        <f t="shared" si="0"/>
        <v>ГИПЕРССЫЛКА("\\mycloudpr2100\ПДО учет\ММЗ\Проект 12560\12560.247.00 СБ Площадка (А4х4).pdf";"12560.247.00СБ")</v>
      </c>
      <c r="H22" s="9" t="str">
        <f>HYPERLINK("\\mycloudpr2100\ПДО учет\ММЗ\Проект 12560\12560.247.00 СБ Площадка (А4х4).pdf","12560.247.00СБ")</f>
        <v>12560.247.00СБ</v>
      </c>
      <c r="I22" s="9" t="str">
        <f>HYPERLINK("\\mycloudpr2100\ПДО учет\ММЗ\Проект 12560\12560.247.00 Площадка (А4).pdf","Площадка")</f>
        <v>Площадка</v>
      </c>
      <c r="J22" s="19">
        <v>22</v>
      </c>
      <c r="K22" s="25" t="s">
        <v>52</v>
      </c>
      <c r="L22" s="25" t="s">
        <v>32</v>
      </c>
    </row>
    <row r="23" spans="2:12" x14ac:dyDescent="0.25">
      <c r="B23" t="s">
        <v>202</v>
      </c>
      <c r="C23" t="s">
        <v>181</v>
      </c>
      <c r="E23" t="s">
        <v>61</v>
      </c>
      <c r="F23" t="s">
        <v>36</v>
      </c>
      <c r="G23" t="str">
        <f t="shared" si="0"/>
        <v>ГИПЕРССЫЛКА("\\mycloudpr2100\ПДО учет\ММЗ\Проект 12560\12560.247.03 Уголок (А4).pdf";"12560.247.03")</v>
      </c>
      <c r="H23" s="9" t="str">
        <f>HYPERLINK("\\mycloudpr2100\ПДО учет\ММЗ\Проект 12560\12560.247.03 Уголок (А4).pdf","12560.247.03")</f>
        <v>12560.247.03</v>
      </c>
      <c r="J23" s="19">
        <v>23</v>
      </c>
      <c r="K23" s="25" t="s">
        <v>53</v>
      </c>
      <c r="L23" s="25" t="s">
        <v>32</v>
      </c>
    </row>
    <row r="24" spans="2:12" x14ac:dyDescent="0.25">
      <c r="B24" t="s">
        <v>203</v>
      </c>
      <c r="C24" t="s">
        <v>181</v>
      </c>
      <c r="E24" t="s">
        <v>62</v>
      </c>
      <c r="F24" t="s">
        <v>36</v>
      </c>
      <c r="G24" t="str">
        <f t="shared" si="0"/>
        <v>ГИПЕРССЫЛКА("\\mycloudpr2100\ПДО учет\ММЗ\Проект 12560\12560.247.05 Уголок (А4).pdf";"12560.247.05")</v>
      </c>
      <c r="H24" s="9" t="str">
        <f>HYPERLINK("\\mycloudpr2100\ПДО учет\ММЗ\Проект 12560\12560.247.05 Уголок (А4).pdf","12560.247.05")</f>
        <v>12560.247.05</v>
      </c>
      <c r="J24" s="19">
        <v>24</v>
      </c>
      <c r="K24" s="25" t="s">
        <v>54</v>
      </c>
      <c r="L24" s="25" t="s">
        <v>32</v>
      </c>
    </row>
    <row r="25" spans="2:12" x14ac:dyDescent="0.25">
      <c r="B25" t="s">
        <v>204</v>
      </c>
      <c r="C25" t="s">
        <v>181</v>
      </c>
      <c r="E25" t="s">
        <v>63</v>
      </c>
      <c r="F25" t="s">
        <v>64</v>
      </c>
      <c r="G25" t="str">
        <f t="shared" si="0"/>
        <v>ГИПЕРССЫЛКА("\\mycloudpr2100\ПДО учет\ММЗ\Проект 12560\12560.247.06 Профиль (А4).pdf";"12560.247.06")</v>
      </c>
      <c r="H25" s="9" t="str">
        <f>HYPERLINK("\\mycloudpr2100\ПДО учет\ММЗ\Проект 12560\12560.247.06 Профиль (А4).pdf","12560.247.06")</f>
        <v>12560.247.06</v>
      </c>
      <c r="J25" s="19">
        <v>25</v>
      </c>
      <c r="K25" s="25" t="s">
        <v>55</v>
      </c>
      <c r="L25" s="25" t="s">
        <v>56</v>
      </c>
    </row>
    <row r="26" spans="2:12" x14ac:dyDescent="0.25">
      <c r="B26" t="s">
        <v>205</v>
      </c>
      <c r="C26" t="s">
        <v>181</v>
      </c>
      <c r="E26" t="s">
        <v>65</v>
      </c>
      <c r="F26" t="s">
        <v>32</v>
      </c>
      <c r="G26" t="str">
        <f t="shared" si="0"/>
        <v>ГИПЕРССЫЛКА("\\mycloudpr2100\ПДО учет\ММЗ\Проект 12560\12560.247.08 Кронштейн (А4).pdf";"12560.247.08")</v>
      </c>
      <c r="H26" s="9" t="str">
        <f>HYPERLINK("\\mycloudpr2100\ПДО учет\ММЗ\Проект 12560\12560.247.08 Кронштейн (А4).pdf","12560.247.08")</f>
        <v>12560.247.08</v>
      </c>
      <c r="J26" s="19">
        <v>26</v>
      </c>
      <c r="K26" s="25" t="s">
        <v>57</v>
      </c>
      <c r="L26" s="25" t="s">
        <v>58</v>
      </c>
    </row>
    <row r="27" spans="2:12" x14ac:dyDescent="0.25">
      <c r="B27" t="s">
        <v>206</v>
      </c>
      <c r="C27" t="s">
        <v>181</v>
      </c>
      <c r="E27" t="s">
        <v>66</v>
      </c>
      <c r="F27" t="s">
        <v>67</v>
      </c>
      <c r="G27" t="str">
        <f t="shared" si="0"/>
        <v>ГИПЕРССЫЛКА("\\mycloudpr2100\ПДО учет\ММЗ\Проект 12560\12560.248.12 Тройник (А4).pdf";"12560.248.12")</v>
      </c>
      <c r="H27" s="9" t="str">
        <f>HYPERLINK("\\mycloudpr2100\ПДО учет\ММЗ\Проект 12560\12560.248.12 Тройник (А4).pdf","12560.248.12")</f>
        <v>12560.248.12</v>
      </c>
      <c r="J27" s="19">
        <v>27</v>
      </c>
      <c r="K27" s="30" t="s">
        <v>59</v>
      </c>
      <c r="L27" s="30" t="s">
        <v>60</v>
      </c>
    </row>
    <row r="28" spans="2:12" x14ac:dyDescent="0.25">
      <c r="B28" t="s">
        <v>207</v>
      </c>
      <c r="C28" t="s">
        <v>181</v>
      </c>
      <c r="E28" t="s">
        <v>68</v>
      </c>
      <c r="F28" t="s">
        <v>69</v>
      </c>
      <c r="G28" t="str">
        <f t="shared" si="0"/>
        <v>ГИПЕРССЫЛКА("\\mycloudpr2100\ПДО учет\ММЗ\Проект 12560\12560.248.13 Переходник (А3).pdf";"12560.248.13")</v>
      </c>
      <c r="H28" s="9" t="str">
        <f>HYPERLINK("\\mycloudpr2100\ПДО учет\ММЗ\Проект 12560\12560.248.13 Переходник (А3).pdf","12560.248.13")</f>
        <v>12560.248.13</v>
      </c>
      <c r="J28" s="19">
        <v>28</v>
      </c>
      <c r="K28" s="25" t="s">
        <v>61</v>
      </c>
      <c r="L28" s="25" t="s">
        <v>36</v>
      </c>
    </row>
    <row r="29" spans="2:12" x14ac:dyDescent="0.25">
      <c r="B29" t="s">
        <v>208</v>
      </c>
      <c r="C29" t="s">
        <v>181</v>
      </c>
      <c r="E29" t="s">
        <v>70</v>
      </c>
      <c r="F29" t="s">
        <v>32</v>
      </c>
      <c r="G29" t="str">
        <f t="shared" si="0"/>
        <v>ГИПЕРССЫЛКА("\\mycloudpr2100\ПДО учет\ММЗ\Проект 12560\12560.248.15 Кронштейн (А4).pdf";"12560.248.15")</v>
      </c>
      <c r="H29" s="9" t="str">
        <f>HYPERLINK("\\mycloudpr2100\ПДО учет\ММЗ\Проект 12560\12560.248.15 Кронштейн (А4).pdf","12560.248.15")</f>
        <v>12560.248.15</v>
      </c>
      <c r="J29" s="19">
        <v>29</v>
      </c>
      <c r="K29" s="25" t="s">
        <v>62</v>
      </c>
      <c r="L29" s="25" t="s">
        <v>36</v>
      </c>
    </row>
    <row r="30" spans="2:12" x14ac:dyDescent="0.25">
      <c r="B30" t="s">
        <v>209</v>
      </c>
      <c r="C30" t="s">
        <v>181</v>
      </c>
      <c r="E30" t="s">
        <v>71</v>
      </c>
      <c r="F30" t="s">
        <v>72</v>
      </c>
      <c r="G30" t="str">
        <f t="shared" si="0"/>
        <v>ГИПЕРССЫЛКА("\\mycloudpr2100\ПДО учет\ММЗ\Проект 12560\12560.248.16 Патрубок (А4).pdf";"12560.248.16")</v>
      </c>
      <c r="H30" s="9" t="str">
        <f>HYPERLINK("\\mycloudpr2100\ПДО учет\ММЗ\Проект 12560\12560.248.16 Патрубок (А4).pdf","12560.248.16")</f>
        <v>12560.248.16</v>
      </c>
      <c r="J30" s="19">
        <v>30</v>
      </c>
      <c r="K30" s="25" t="s">
        <v>63</v>
      </c>
      <c r="L30" s="25" t="s">
        <v>64</v>
      </c>
    </row>
    <row r="31" spans="2:12" x14ac:dyDescent="0.25">
      <c r="B31" t="s">
        <v>210</v>
      </c>
      <c r="C31" t="s">
        <v>181</v>
      </c>
      <c r="E31" t="s">
        <v>73</v>
      </c>
      <c r="F31" t="s">
        <v>32</v>
      </c>
      <c r="G31" t="str">
        <f t="shared" si="0"/>
        <v>ГИПЕРССЫЛКА("\\mycloudpr2100\ПДО учет\ММЗ\Проект 12560\12560.249.01 Кронштейн (А3).pdf";"12560.249.01")</v>
      </c>
      <c r="H31" s="9" t="str">
        <f>HYPERLINK("\\mycloudpr2100\ПДО учет\ММЗ\Проект 12560\12560.249.01 Кронштейн (А3).pdf","12560.249.01")</f>
        <v>12560.249.01</v>
      </c>
      <c r="J31" s="19">
        <v>31</v>
      </c>
      <c r="K31" s="25" t="s">
        <v>65</v>
      </c>
      <c r="L31" s="25" t="s">
        <v>32</v>
      </c>
    </row>
    <row r="32" spans="2:12" x14ac:dyDescent="0.25">
      <c r="B32" t="s">
        <v>211</v>
      </c>
      <c r="C32" t="s">
        <v>181</v>
      </c>
      <c r="E32" t="s">
        <v>74</v>
      </c>
      <c r="F32" t="s">
        <v>50</v>
      </c>
      <c r="G32" t="str">
        <f t="shared" si="0"/>
        <v>ГИПЕРССЫЛКА("\\mycloudpr2100\ПДО учет\ММЗ\Проект 12560\12560.250.03 Накладка (А3).pdf";"12560.250.03")</v>
      </c>
      <c r="H32" s="9" t="str">
        <f>HYPERLINK("\\mycloudpr2100\ПДО учет\ММЗ\Проект 12560\12560.250.03 Накладка (А3).pdf","12560.250.03")</f>
        <v>12560.250.03</v>
      </c>
      <c r="J32" s="19">
        <v>32</v>
      </c>
      <c r="K32" s="25" t="s">
        <v>66</v>
      </c>
      <c r="L32" s="25" t="s">
        <v>67</v>
      </c>
    </row>
    <row r="33" spans="2:12" x14ac:dyDescent="0.25">
      <c r="B33" t="s">
        <v>212</v>
      </c>
      <c r="C33" t="s">
        <v>181</v>
      </c>
      <c r="E33" t="s">
        <v>76</v>
      </c>
      <c r="F33" t="s">
        <v>77</v>
      </c>
      <c r="G33" t="str">
        <f t="shared" si="0"/>
        <v>ГИПЕРССЫЛКА("\\mycloudpr2100\ПДО учет\ММЗ\Проект 12560\12560.252.01 Пластина (А3).pdf";"12560.252.01")</v>
      </c>
      <c r="H33" s="9" t="str">
        <f>HYPERLINK("\\mycloudpr2100\ПДО учет\ММЗ\Проект 12560\12560.252.01 Пластина (А3).pdf","12560.252.01")</f>
        <v>12560.252.01</v>
      </c>
      <c r="J33" s="19">
        <v>33</v>
      </c>
      <c r="K33" s="25" t="s">
        <v>68</v>
      </c>
      <c r="L33" s="25" t="s">
        <v>69</v>
      </c>
    </row>
    <row r="34" spans="2:12" x14ac:dyDescent="0.25">
      <c r="B34" t="s">
        <v>213</v>
      </c>
      <c r="C34" t="s">
        <v>181</v>
      </c>
      <c r="E34" t="s">
        <v>78</v>
      </c>
      <c r="F34" t="s">
        <v>79</v>
      </c>
      <c r="G34" t="str">
        <f t="shared" si="0"/>
        <v>ГИПЕРССЫЛКА("\\mycloudpr2100\ПДО учет\ММЗ\Проект 12560\12560.252.03 Плунжер (А4).pdf";"12560.252.03")</v>
      </c>
      <c r="H34" s="9" t="str">
        <f>HYPERLINK("\\mycloudpr2100\ПДО учет\ММЗ\Проект 12560\12560.252.03 Плунжер (А4).pdf","12560.252.03")</f>
        <v>12560.252.03</v>
      </c>
      <c r="J34" s="19">
        <v>34</v>
      </c>
      <c r="K34" s="25" t="s">
        <v>70</v>
      </c>
      <c r="L34" s="25" t="s">
        <v>32</v>
      </c>
    </row>
    <row r="35" spans="2:12" x14ac:dyDescent="0.25">
      <c r="B35" t="s">
        <v>214</v>
      </c>
      <c r="C35" t="s">
        <v>181</v>
      </c>
      <c r="E35" t="s">
        <v>80</v>
      </c>
      <c r="F35" t="s">
        <v>81</v>
      </c>
      <c r="G35" t="str">
        <f t="shared" si="0"/>
        <v>ГИПЕРССЫЛКА("\\mycloudpr2100\ПДО учет\ММЗ\Проект 12560\12560.252.04 Штифт (А4).pdf";"12560.252.04")</v>
      </c>
      <c r="H35" s="9" t="str">
        <f>HYPERLINK("\\mycloudpr2100\ПДО учет\ММЗ\Проект 12560\12560.252.04 Штифт (А4).pdf","12560.252.04")</f>
        <v>12560.252.04</v>
      </c>
      <c r="J35" s="19">
        <v>35</v>
      </c>
      <c r="K35" s="25" t="s">
        <v>71</v>
      </c>
      <c r="L35" s="25" t="s">
        <v>72</v>
      </c>
    </row>
    <row r="36" spans="2:12" x14ac:dyDescent="0.25">
      <c r="B36" t="s">
        <v>215</v>
      </c>
      <c r="C36" t="s">
        <v>181</v>
      </c>
      <c r="E36" t="s">
        <v>82</v>
      </c>
      <c r="F36" t="s">
        <v>83</v>
      </c>
      <c r="G36" t="str">
        <f t="shared" si="0"/>
        <v>ГИПЕРССЫЛКА("\\mycloudpr2100\ПДО учет\ММЗ\Проект 12560\12560.253.01 Втулка (А4).pdf";"12560.253.01")</v>
      </c>
      <c r="H36" s="9" t="str">
        <f>HYPERLINK("\\mycloudpr2100\ПДО учет\ММЗ\Проект 12560\12560.253.01 Втулка (А4).pdf","12560.253.01")</f>
        <v>12560.253.01</v>
      </c>
      <c r="J36" s="19">
        <v>36</v>
      </c>
      <c r="K36" s="25" t="s">
        <v>73</v>
      </c>
      <c r="L36" s="25" t="s">
        <v>32</v>
      </c>
    </row>
    <row r="37" spans="2:12" x14ac:dyDescent="0.25">
      <c r="B37" t="s">
        <v>216</v>
      </c>
      <c r="C37" t="s">
        <v>181</v>
      </c>
      <c r="E37" t="s">
        <v>84</v>
      </c>
      <c r="F37" t="s">
        <v>77</v>
      </c>
      <c r="G37" t="str">
        <f t="shared" si="0"/>
        <v>ГИПЕРССЫЛКА("\\mycloudpr2100\ПДО учет\ММЗ\Проект 12560\12560.253.02 Пластина (А3).pdf";"12560.253.02")</v>
      </c>
      <c r="H37" s="9" t="str">
        <f>HYPERLINK("\\mycloudpr2100\ПДО учет\ММЗ\Проект 12560\12560.253.02 Пластина (А3).pdf","12560.253.02")</f>
        <v>12560.253.02</v>
      </c>
      <c r="J37" s="19">
        <v>37</v>
      </c>
      <c r="K37" s="25" t="s">
        <v>74</v>
      </c>
      <c r="L37" s="25" t="s">
        <v>50</v>
      </c>
    </row>
    <row r="38" spans="2:12" x14ac:dyDescent="0.25">
      <c r="B38" t="s">
        <v>217</v>
      </c>
      <c r="C38" t="s">
        <v>181</v>
      </c>
      <c r="E38" t="s">
        <v>85</v>
      </c>
      <c r="F38" t="s">
        <v>86</v>
      </c>
      <c r="G38" t="str">
        <f t="shared" si="0"/>
        <v>ГИПЕРССЫЛКА("\\mycloudpr2100\ПДО учет\ММЗ\Проект 12560\12560.254.02 Вставка (А2).pdf";"12560.254.02")</v>
      </c>
      <c r="H38" s="9" t="str">
        <f>HYPERLINK("\\mycloudpr2100\ПДО учет\ММЗ\Проект 12560\12560.254.02 Вставка (А2).pdf","12560.254.02")</f>
        <v>12560.254.02</v>
      </c>
      <c r="J38" s="19">
        <v>38</v>
      </c>
      <c r="K38" s="25" t="s">
        <v>75</v>
      </c>
      <c r="L38" s="25" t="s">
        <v>50</v>
      </c>
    </row>
    <row r="39" spans="2:12" x14ac:dyDescent="0.25">
      <c r="B39" t="s">
        <v>218</v>
      </c>
      <c r="C39" t="s">
        <v>181</v>
      </c>
      <c r="E39" t="s">
        <v>87</v>
      </c>
      <c r="F39" t="s">
        <v>86</v>
      </c>
      <c r="G39" t="str">
        <f t="shared" si="0"/>
        <v>ГИПЕРССЫЛКА("\\mycloudpr2100\ПДО учет\ММЗ\Проект 12560\12560.254.03 Вставка (А2).pdf";"12560.254.03")</v>
      </c>
      <c r="H39" s="9" t="str">
        <f>HYPERLINK("\\mycloudpr2100\ПДО учет\ММЗ\Проект 12560\12560.254.03 Вставка (А2).pdf","12560.254.03")</f>
        <v>12560.254.03</v>
      </c>
      <c r="J39" s="19">
        <v>39</v>
      </c>
      <c r="K39" s="25" t="s">
        <v>76</v>
      </c>
      <c r="L39" s="25" t="s">
        <v>77</v>
      </c>
    </row>
    <row r="40" spans="2:12" x14ac:dyDescent="0.25">
      <c r="B40" t="s">
        <v>219</v>
      </c>
      <c r="C40" t="s">
        <v>181</v>
      </c>
      <c r="E40" t="s">
        <v>88</v>
      </c>
      <c r="F40" t="s">
        <v>89</v>
      </c>
      <c r="G40" t="str">
        <f t="shared" si="0"/>
        <v>ГИПЕРССЫЛКА("\\mycloudpr2100\ПДО учет\ММЗ\Проект 12560\12560.256.01 Ось (А4).pdf";"12560.256.01")</v>
      </c>
      <c r="H40" s="9" t="str">
        <f>HYPERLINK("\\mycloudpr2100\ПДО учет\ММЗ\Проект 12560\12560.256.01 Ось (А4).pdf","12560.256.01")</f>
        <v>12560.256.01</v>
      </c>
      <c r="J40" s="19">
        <v>40</v>
      </c>
      <c r="K40" s="25" t="s">
        <v>78</v>
      </c>
      <c r="L40" s="25" t="s">
        <v>79</v>
      </c>
    </row>
    <row r="41" spans="2:12" x14ac:dyDescent="0.25">
      <c r="B41" t="s">
        <v>220</v>
      </c>
      <c r="C41" t="s">
        <v>181</v>
      </c>
      <c r="E41" t="s">
        <v>90</v>
      </c>
      <c r="F41" t="s">
        <v>91</v>
      </c>
      <c r="G41" t="str">
        <f t="shared" si="0"/>
        <v>ГИПЕРССЫЛКА("\\mycloudpr2100\ПДО учет\ММЗ\Проект 12560\12560.256.02 Руль (А4х3).pdf";"12560.256.02")</v>
      </c>
      <c r="H41" s="9" t="str">
        <f>HYPERLINK("\\mycloudpr2100\ПДО учет\ММЗ\Проект 12560\12560.256.02 Руль (А4х3).pdf","12560.256.02")</f>
        <v>12560.256.02</v>
      </c>
      <c r="J41" s="19">
        <v>41</v>
      </c>
      <c r="K41" s="25" t="s">
        <v>80</v>
      </c>
      <c r="L41" s="25" t="s">
        <v>81</v>
      </c>
    </row>
    <row r="42" spans="2:12" x14ac:dyDescent="0.25">
      <c r="B42" t="s">
        <v>221</v>
      </c>
      <c r="C42" t="s">
        <v>181</v>
      </c>
      <c r="E42" t="s">
        <v>93</v>
      </c>
      <c r="F42" t="s">
        <v>77</v>
      </c>
      <c r="G42" t="str">
        <f t="shared" si="0"/>
        <v>ГИПЕРССЫЛКА("\\mycloudpr2100\ПДО учет\ММЗ\Проект 12560\12560.257.01 Пластина (А3).pdf";"12560.257.01")</v>
      </c>
      <c r="H42" s="9" t="str">
        <f>HYPERLINK("\\mycloudpr2100\ПДО учет\ММЗ\Проект 12560\12560.257.01 Пластина (А3).pdf","12560.257.01")</f>
        <v>12560.257.01</v>
      </c>
      <c r="J42" s="19">
        <v>42</v>
      </c>
      <c r="K42" s="25" t="s">
        <v>82</v>
      </c>
      <c r="L42" s="25" t="s">
        <v>83</v>
      </c>
    </row>
    <row r="43" spans="2:12" x14ac:dyDescent="0.25">
      <c r="B43" t="s">
        <v>222</v>
      </c>
      <c r="C43" t="s">
        <v>181</v>
      </c>
      <c r="E43" t="s">
        <v>94</v>
      </c>
      <c r="F43" t="s">
        <v>64</v>
      </c>
      <c r="G43" t="str">
        <f t="shared" si="0"/>
        <v>ГИПЕРССЫЛКА("\\mycloudpr2100\ПДО учет\ММЗ\Проект 12560\12560.257.02 Профиль (А3).pdf";"12560.257.02")</v>
      </c>
      <c r="H43" s="9" t="str">
        <f>HYPERLINK("\\mycloudpr2100\ПДО учет\ММЗ\Проект 12560\12560.257.02 Профиль (А3).pdf","12560.257.02")</f>
        <v>12560.257.02</v>
      </c>
      <c r="J43" s="19">
        <v>43</v>
      </c>
      <c r="K43" s="25" t="s">
        <v>84</v>
      </c>
      <c r="L43" s="25" t="s">
        <v>77</v>
      </c>
    </row>
    <row r="44" spans="2:12" x14ac:dyDescent="0.25">
      <c r="B44" t="s">
        <v>223</v>
      </c>
      <c r="C44" t="s">
        <v>181</v>
      </c>
      <c r="E44" t="s">
        <v>95</v>
      </c>
      <c r="F44" t="s">
        <v>96</v>
      </c>
      <c r="G44" t="str">
        <f t="shared" si="0"/>
        <v>ГИПЕРССЫЛКА("\\mycloudpr2100\ПДО учет\ММЗ\Проект 12560\12560.259.04 Вставка верхняя (А4х3).pdf";"12560.259.04")</v>
      </c>
      <c r="H44" s="9" t="str">
        <f>HYPERLINK("\\mycloudpr2100\ПДО учет\ММЗ\Проект 12560\12560.259.04 Вставка верхняя (А4х3).pdf","12560.259.04")</f>
        <v>12560.259.04</v>
      </c>
      <c r="J44" s="19">
        <v>44</v>
      </c>
      <c r="K44" s="25" t="s">
        <v>85</v>
      </c>
      <c r="L44" s="25" t="s">
        <v>86</v>
      </c>
    </row>
    <row r="45" spans="2:12" x14ac:dyDescent="0.25">
      <c r="B45" t="s">
        <v>224</v>
      </c>
      <c r="C45" t="s">
        <v>181</v>
      </c>
      <c r="E45" t="s">
        <v>97</v>
      </c>
      <c r="F45" t="s">
        <v>98</v>
      </c>
      <c r="G45" t="str">
        <f t="shared" si="0"/>
        <v>ГИПЕРССЫЛКА("\\mycloudpr2100\ПДО учет\ММЗ\Проект 12560\12560.259.05 Пластина крепежная (А4).pdf";"12560.259.05")</v>
      </c>
      <c r="H45" s="9" t="str">
        <f>HYPERLINK("\\mycloudpr2100\ПДО учет\ММЗ\Проект 12560\12560.259.05 Пластина крепежная (А4).pdf","12560.259.05")</f>
        <v>12560.259.05</v>
      </c>
      <c r="J45" s="19">
        <v>45</v>
      </c>
      <c r="K45" s="25" t="s">
        <v>87</v>
      </c>
      <c r="L45" s="25" t="s">
        <v>86</v>
      </c>
    </row>
    <row r="46" spans="2:12" x14ac:dyDescent="0.25">
      <c r="B46" t="s">
        <v>225</v>
      </c>
      <c r="C46" t="s">
        <v>181</v>
      </c>
      <c r="E46" t="s">
        <v>99</v>
      </c>
      <c r="F46" t="s">
        <v>100</v>
      </c>
      <c r="G46" t="str">
        <f t="shared" si="0"/>
        <v>ГИПЕРССЫЛКА("\\mycloudpr2100\ПДО учет\ММЗ\Проект 12560\12560.261.06 Груз (А4).pdf";"12560.261.06")</v>
      </c>
      <c r="H46" s="9" t="str">
        <f>HYPERLINK("\\mycloudpr2100\ПДО учет\ММЗ\Проект 12560\12560.261.06 Груз (А4).pdf","12560.261.06")</f>
        <v>12560.261.06</v>
      </c>
      <c r="J46" s="19">
        <v>46</v>
      </c>
      <c r="K46" s="25" t="s">
        <v>88</v>
      </c>
      <c r="L46" s="25" t="s">
        <v>89</v>
      </c>
    </row>
    <row r="47" spans="2:12" x14ac:dyDescent="0.25">
      <c r="B47" t="s">
        <v>226</v>
      </c>
      <c r="C47" t="s">
        <v>181</v>
      </c>
      <c r="E47" t="s">
        <v>101</v>
      </c>
      <c r="F47" t="s">
        <v>50</v>
      </c>
      <c r="G47" t="str">
        <f t="shared" si="0"/>
        <v>ГИПЕРССЫЛКА("\\mycloudpr2100\ПДО учет\ММЗ\Проект 12560\12560.271.03 Накладка (А2).pdf";"12560.271.03")</v>
      </c>
      <c r="H47" s="9" t="str">
        <f>HYPERLINK("\\mycloudpr2100\ПДО учет\ММЗ\Проект 12560\12560.271.03 Накладка (А2).pdf","12560.271.03")</f>
        <v>12560.271.03</v>
      </c>
      <c r="J47" s="19">
        <v>47</v>
      </c>
      <c r="K47" s="25" t="s">
        <v>90</v>
      </c>
      <c r="L47" s="25" t="s">
        <v>91</v>
      </c>
    </row>
    <row r="48" spans="2:12" x14ac:dyDescent="0.25">
      <c r="B48" t="s">
        <v>227</v>
      </c>
      <c r="C48" t="s">
        <v>181</v>
      </c>
      <c r="E48" t="s">
        <v>103</v>
      </c>
      <c r="F48" t="s">
        <v>50</v>
      </c>
      <c r="G48" t="str">
        <f t="shared" si="0"/>
        <v>ГИПЕРССЫЛКА("\\mycloudpr2100\ПДО учет\ММЗ\Проект 12560\12560.271.04 Накладка (А2).pdf";"12560.271.04")</v>
      </c>
      <c r="H48" s="9" t="str">
        <f>HYPERLINK("\\mycloudpr2100\ПДО учет\ММЗ\Проект 12560\12560.271.04 Накладка (А2).pdf","12560.271.04")</f>
        <v>12560.271.04</v>
      </c>
      <c r="J48" s="19">
        <v>48</v>
      </c>
      <c r="K48" s="25" t="s">
        <v>92</v>
      </c>
      <c r="L48" s="25" t="s">
        <v>91</v>
      </c>
    </row>
    <row r="49" spans="2:12" x14ac:dyDescent="0.25">
      <c r="B49" t="s">
        <v>228</v>
      </c>
      <c r="C49" t="s">
        <v>181</v>
      </c>
      <c r="E49" t="s">
        <v>105</v>
      </c>
      <c r="F49" t="s">
        <v>106</v>
      </c>
      <c r="G49" t="str">
        <f t="shared" si="0"/>
        <v>ГИПЕРССЫЛКА("\\mycloudpr2100\ПДО учет\ММЗ\Проект 12560\12560.271.05 Шайба (А4).pdf";"12560.271.05")</v>
      </c>
      <c r="H49" s="9" t="str">
        <f>HYPERLINK("\\mycloudpr2100\ПДО учет\ММЗ\Проект 12560\12560.271.05 Шайба (А4).pdf","12560.271.05")</f>
        <v>12560.271.05</v>
      </c>
      <c r="J49" s="19">
        <v>49</v>
      </c>
      <c r="K49" s="25" t="s">
        <v>93</v>
      </c>
      <c r="L49" s="25" t="s">
        <v>77</v>
      </c>
    </row>
    <row r="50" spans="2:12" x14ac:dyDescent="0.25">
      <c r="B50" t="s">
        <v>229</v>
      </c>
      <c r="C50" t="s">
        <v>181</v>
      </c>
      <c r="E50" t="s">
        <v>107</v>
      </c>
      <c r="F50" t="s">
        <v>23</v>
      </c>
      <c r="G50" t="str">
        <f t="shared" si="0"/>
        <v>ГИПЕРССЫЛКА("\\mycloudpr2100\ПДО учет\ММЗ\Проект 12560\12560.280.02 Хомут (А4х3).pdf";"12560.280.02")</v>
      </c>
      <c r="H50" s="9" t="str">
        <f>HYPERLINK("\\mycloudpr2100\ПДО учет\ММЗ\Проект 12560\12560.280.02 Хомут (А4х3).pdf","12560.280.02")</f>
        <v>12560.280.02</v>
      </c>
      <c r="J50" s="19">
        <v>50</v>
      </c>
      <c r="K50" s="25" t="s">
        <v>94</v>
      </c>
      <c r="L50" s="25" t="s">
        <v>64</v>
      </c>
    </row>
    <row r="51" spans="2:12" x14ac:dyDescent="0.25">
      <c r="B51" t="s">
        <v>230</v>
      </c>
      <c r="C51" t="s">
        <v>181</v>
      </c>
      <c r="E51" t="s">
        <v>108</v>
      </c>
      <c r="F51" t="s">
        <v>109</v>
      </c>
      <c r="G51" t="str">
        <f t="shared" si="0"/>
        <v>ГИПЕРССЫЛКА("\\mycloudpr2100\ПДО учет\ММЗ\Проект 12560\12560.280.03 Болт (А4).pdf";"12560.280.03")</v>
      </c>
      <c r="H51" s="9" t="str">
        <f>HYPERLINK("\\mycloudpr2100\ПДО учет\ММЗ\Проект 12560\12560.280.03 Болт (А4).pdf","12560.280.03")</f>
        <v>12560.280.03</v>
      </c>
      <c r="J51" s="19">
        <v>51</v>
      </c>
      <c r="K51" s="25" t="s">
        <v>95</v>
      </c>
      <c r="L51" s="25" t="s">
        <v>96</v>
      </c>
    </row>
    <row r="52" spans="2:12" x14ac:dyDescent="0.25">
      <c r="B52" t="s">
        <v>231</v>
      </c>
      <c r="C52" t="s">
        <v>181</v>
      </c>
      <c r="E52" t="s">
        <v>110</v>
      </c>
      <c r="F52" t="s">
        <v>111</v>
      </c>
      <c r="G52" t="str">
        <f t="shared" si="0"/>
        <v>ГИПЕРССЫЛКА("\\mycloudpr2100\ПДО учет\ММЗ\Проект 12560\12560.280.04 Проставка (А4).pdf";"12560.280.04")</v>
      </c>
      <c r="H52" s="9" t="str">
        <f>HYPERLINK("\\mycloudpr2100\ПДО учет\ММЗ\Проект 12560\12560.280.04 Проставка (А4).pdf","12560.280.04")</f>
        <v>12560.280.04</v>
      </c>
      <c r="J52" s="19">
        <v>52</v>
      </c>
      <c r="K52" s="25" t="s">
        <v>97</v>
      </c>
      <c r="L52" s="25" t="s">
        <v>98</v>
      </c>
    </row>
    <row r="53" spans="2:12" x14ac:dyDescent="0.25">
      <c r="B53" t="s">
        <v>232</v>
      </c>
      <c r="C53" t="s">
        <v>181</v>
      </c>
      <c r="E53" t="s">
        <v>112</v>
      </c>
      <c r="F53" t="s">
        <v>111</v>
      </c>
      <c r="G53" t="str">
        <f t="shared" si="0"/>
        <v>ГИПЕРССЫЛКА("\\mycloudpr2100\ПДО учет\ММЗ\Проект 12560\12560.280.05 Проставка (А4).pdf";"12560.280.05")</v>
      </c>
      <c r="H53" s="9" t="str">
        <f>HYPERLINK("\\mycloudpr2100\ПДО учет\ММЗ\Проект 12560\12560.280.05 Проставка (А4).pdf","12560.280.05")</f>
        <v>12560.280.05</v>
      </c>
      <c r="J53" s="19">
        <v>53</v>
      </c>
      <c r="K53" s="25" t="s">
        <v>99</v>
      </c>
      <c r="L53" s="25" t="s">
        <v>100</v>
      </c>
    </row>
    <row r="54" spans="2:12" x14ac:dyDescent="0.25">
      <c r="B54" t="s">
        <v>233</v>
      </c>
      <c r="C54" t="s">
        <v>181</v>
      </c>
      <c r="E54" t="s">
        <v>113</v>
      </c>
      <c r="F54" t="s">
        <v>114</v>
      </c>
      <c r="G54" t="str">
        <f t="shared" si="0"/>
        <v>ГИПЕРССЫЛКА("\\mycloudpr2100\ПДО учет\ММЗ\Проект 12560\12560.280.08 Ограничитель (А4х4).pdf";"12560.280.08")</v>
      </c>
      <c r="H54" s="9" t="str">
        <f>HYPERLINK("\\mycloudpr2100\ПДО учет\ММЗ\Проект 12560\12560.280.08 Ограничитель (А4х4).pdf","12560.280.08")</f>
        <v>12560.280.08</v>
      </c>
      <c r="J54" s="19">
        <v>54</v>
      </c>
      <c r="K54" s="25" t="s">
        <v>101</v>
      </c>
      <c r="L54" s="25" t="s">
        <v>50</v>
      </c>
    </row>
    <row r="55" spans="2:12" x14ac:dyDescent="0.25">
      <c r="B55" t="s">
        <v>234</v>
      </c>
      <c r="C55" t="s">
        <v>181</v>
      </c>
      <c r="E55" t="s">
        <v>288</v>
      </c>
      <c r="F55" t="s">
        <v>32</v>
      </c>
      <c r="G55" t="str">
        <f>CONCATENATE($E$1,C55,B55,$D$1,F55,$F$1)</f>
        <v>ГИПЕРССЫЛКА("\\mycloudpr2100\ПДО учет\ММЗ\Проект 12560\12560.282.00 Кронштейн (А4).pdf";"Кронштейн")</v>
      </c>
      <c r="J55" s="19">
        <v>55</v>
      </c>
      <c r="K55" s="25" t="s">
        <v>102</v>
      </c>
      <c r="L55" s="25" t="s">
        <v>50</v>
      </c>
    </row>
    <row r="56" spans="2:12" x14ac:dyDescent="0.25">
      <c r="B56" t="s">
        <v>235</v>
      </c>
      <c r="C56" t="s">
        <v>181</v>
      </c>
      <c r="E56" t="s">
        <v>115</v>
      </c>
      <c r="F56" t="s">
        <v>32</v>
      </c>
      <c r="G56" t="str">
        <f t="shared" si="0"/>
        <v>ГИПЕРССЫЛКА("\\mycloudpr2100\ПДО учет\ММЗ\Проект 12560\12560.282.00 СБ Кронштейн (А4х3).pdf";"12560.282.00СБ")</v>
      </c>
      <c r="H56" s="9" t="str">
        <f>HYPERLINK("\\mycloudpr2100\ПДО учет\ММЗ\Проект 12560\12560.282.00 СБ Кронштейн (А4х3).pdf","12560.282.00СБ")</f>
        <v>12560.282.00СБ</v>
      </c>
      <c r="I56" s="9" t="str">
        <f>HYPERLINK("\\mycloudpr2100\ПДО учет\ММЗ\Проект 12560\12560.282.00 Кронштейн (А4).pdf","Кронштейн")</f>
        <v>Кронштейн</v>
      </c>
      <c r="J56" s="19">
        <v>56</v>
      </c>
      <c r="K56" s="25" t="s">
        <v>103</v>
      </c>
      <c r="L56" s="25" t="s">
        <v>50</v>
      </c>
    </row>
    <row r="57" spans="2:12" x14ac:dyDescent="0.25">
      <c r="B57" t="s">
        <v>236</v>
      </c>
      <c r="C57" t="s">
        <v>181</v>
      </c>
      <c r="E57" t="s">
        <v>116</v>
      </c>
      <c r="F57" t="s">
        <v>32</v>
      </c>
      <c r="G57" t="str">
        <f t="shared" si="0"/>
        <v>ГИПЕРССЫЛКА("\\mycloudpr2100\ПДО учет\ММЗ\Проект 12560\12560.282.01 Кронштейн (А1).pdf";"12560.282.01")</v>
      </c>
      <c r="H57" s="9" t="str">
        <f>HYPERLINK("\\mycloudpr2100\ПДО учет\ММЗ\Проект 12560\12560.282.01 Кронштейн (А1).pdf","12560.282.01")</f>
        <v>12560.282.01</v>
      </c>
      <c r="J57" s="19">
        <v>57</v>
      </c>
      <c r="K57" s="25" t="s">
        <v>104</v>
      </c>
      <c r="L57" s="25" t="s">
        <v>50</v>
      </c>
    </row>
    <row r="58" spans="2:12" x14ac:dyDescent="0.25">
      <c r="B58" t="s">
        <v>237</v>
      </c>
      <c r="C58" t="s">
        <v>181</v>
      </c>
      <c r="E58" t="s">
        <v>117</v>
      </c>
      <c r="F58" t="s">
        <v>118</v>
      </c>
      <c r="G58" t="str">
        <f t="shared" si="0"/>
        <v>ГИПЕРССЫЛКА("\\mycloudpr2100\ПДО учет\ММЗ\Проект 12560\12560.282.02 Упор (А3).pdf";"12560.282.02")</v>
      </c>
      <c r="H58" s="9" t="str">
        <f>HYPERLINK("\\mycloudpr2100\ПДО учет\ММЗ\Проект 12560\12560.282.02 Упор (А3).pdf","12560.282.02")</f>
        <v>12560.282.02</v>
      </c>
      <c r="J58" s="19">
        <v>58</v>
      </c>
      <c r="K58" s="25" t="s">
        <v>105</v>
      </c>
      <c r="L58" s="25" t="s">
        <v>106</v>
      </c>
    </row>
    <row r="59" spans="2:12" x14ac:dyDescent="0.25">
      <c r="B59" t="s">
        <v>238</v>
      </c>
      <c r="C59" t="s">
        <v>181</v>
      </c>
      <c r="E59" t="s">
        <v>119</v>
      </c>
      <c r="F59" t="s">
        <v>89</v>
      </c>
      <c r="G59" t="str">
        <f t="shared" si="0"/>
        <v>ГИПЕРССЫЛКА("\\mycloudpr2100\ПДО учет\ММЗ\Проект 12560\12560.282.03 Ось (А4).pdf";"12560.282.03")</v>
      </c>
      <c r="H59" s="9" t="str">
        <f>HYPERLINK("\\mycloudpr2100\ПДО учет\ММЗ\Проект 12560\12560.282.03 Ось (А4).pdf","12560.282.03")</f>
        <v>12560.282.03</v>
      </c>
      <c r="J59" s="19">
        <v>59</v>
      </c>
      <c r="K59" s="25" t="s">
        <v>107</v>
      </c>
      <c r="L59" s="25" t="s">
        <v>23</v>
      </c>
    </row>
    <row r="60" spans="2:12" x14ac:dyDescent="0.25">
      <c r="B60" t="s">
        <v>239</v>
      </c>
      <c r="C60" t="s">
        <v>181</v>
      </c>
      <c r="E60" t="s">
        <v>120</v>
      </c>
      <c r="F60" t="s">
        <v>121</v>
      </c>
      <c r="G60" t="str">
        <f t="shared" si="0"/>
        <v>ГИПЕРССЫЛКА("\\mycloudpr2100\ПДО учет\ММЗ\Проект 12560\12560.282.04 Пружина (А3).pdf";"12560.282.04")</v>
      </c>
      <c r="H60" s="9" t="str">
        <f>HYPERLINK("\\mycloudpr2100\ПДО учет\ММЗ\Проект 12560\12560.282.04 Пружина (А3).pdf","12560.282.04")</f>
        <v>12560.282.04</v>
      </c>
      <c r="J60" s="19">
        <v>60</v>
      </c>
      <c r="K60" s="25" t="s">
        <v>108</v>
      </c>
      <c r="L60" s="25" t="s">
        <v>109</v>
      </c>
    </row>
    <row r="61" spans="2:12" x14ac:dyDescent="0.25">
      <c r="B61" t="s">
        <v>240</v>
      </c>
      <c r="C61" t="s">
        <v>181</v>
      </c>
      <c r="E61" t="s">
        <v>123</v>
      </c>
      <c r="F61" t="s">
        <v>124</v>
      </c>
      <c r="G61" t="str">
        <f t="shared" si="0"/>
        <v>ГИПЕРССЫЛКА("\\mycloudpr2100\ПДО учет\ММЗ\Проект 12560\12560.283.00 СБ Тяга (А3).pdf";"12560.283.00СБ")</v>
      </c>
      <c r="H61" s="9" t="str">
        <f>HYPERLINK("\\mycloudpr2100\ПДО учет\ММЗ\Проект 12560\12560.283.00 СБ Тяга (А3).pdf","12560.283.00СБ")</f>
        <v>12560.283.00СБ</v>
      </c>
      <c r="I61" s="9" t="str">
        <f>HYPERLINK("\\mycloudpr2100\ПДО учет\ММЗ\Проект 12560\12560.283.00 Тяга (А4).pdf","Тяга")</f>
        <v>Тяга</v>
      </c>
      <c r="J61" s="19">
        <v>61</v>
      </c>
      <c r="K61" s="25" t="s">
        <v>110</v>
      </c>
      <c r="L61" s="25" t="s">
        <v>111</v>
      </c>
    </row>
    <row r="62" spans="2:12" x14ac:dyDescent="0.25">
      <c r="B62" t="s">
        <v>241</v>
      </c>
      <c r="C62" t="s">
        <v>181</v>
      </c>
      <c r="E62" t="s">
        <v>289</v>
      </c>
      <c r="F62" t="s">
        <v>124</v>
      </c>
      <c r="G62" t="str">
        <f>CONCATENATE($E$1,C62,B62,$D$1,F62,$F$1)</f>
        <v>ГИПЕРССЫЛКА("\\mycloudpr2100\ПДО учет\ММЗ\Проект 12560\12560.283.00 Тяга (А4).pdf";"Тяга")</v>
      </c>
      <c r="J62" s="19">
        <v>62</v>
      </c>
      <c r="K62" s="25" t="s">
        <v>112</v>
      </c>
      <c r="L62" s="25" t="s">
        <v>111</v>
      </c>
    </row>
    <row r="63" spans="2:12" x14ac:dyDescent="0.25">
      <c r="B63" t="s">
        <v>242</v>
      </c>
      <c r="C63" t="s">
        <v>181</v>
      </c>
      <c r="E63" t="s">
        <v>125</v>
      </c>
      <c r="F63" t="s">
        <v>126</v>
      </c>
      <c r="G63" t="str">
        <f t="shared" si="0"/>
        <v>ГИПЕРССЫЛКА("\\mycloudpr2100\ПДО учет\ММЗ\Проект 12560\12560.283.01 Вилка (А4х3).pdf";"12560.283.01")</v>
      </c>
      <c r="H63" s="9" t="str">
        <f>HYPERLINK("\\mycloudpr2100\ПДО учет\ММЗ\Проект 12560\12560.283.01 Вилка (А4х3).pdf","12560.283.01")</f>
        <v>12560.283.01</v>
      </c>
      <c r="J63" s="19">
        <v>63</v>
      </c>
      <c r="K63" s="25" t="s">
        <v>113</v>
      </c>
      <c r="L63" s="25" t="s">
        <v>114</v>
      </c>
    </row>
    <row r="64" spans="2:12" x14ac:dyDescent="0.25">
      <c r="B64" t="s">
        <v>243</v>
      </c>
      <c r="C64" t="s">
        <v>181</v>
      </c>
      <c r="E64" t="s">
        <v>127</v>
      </c>
      <c r="F64" t="s">
        <v>40</v>
      </c>
      <c r="G64" t="str">
        <f t="shared" si="0"/>
        <v>ГИПЕРССЫЛКА("\\mycloudpr2100\ПДО учет\ММЗ\Проект 12560\12560.283.02 Гайка (А4).pdf";"12560.283.02")</v>
      </c>
      <c r="H64" s="9" t="str">
        <f>HYPERLINK("\\mycloudpr2100\ПДО учет\ММЗ\Проект 12560\12560.283.02 Гайка (А4).pdf","12560.283.02")</f>
        <v>12560.283.02</v>
      </c>
      <c r="J64" s="19">
        <v>64</v>
      </c>
      <c r="K64" s="30" t="s">
        <v>115</v>
      </c>
      <c r="L64" s="30" t="s">
        <v>32</v>
      </c>
    </row>
    <row r="65" spans="2:12" x14ac:dyDescent="0.25">
      <c r="B65" t="s">
        <v>244</v>
      </c>
      <c r="C65" t="s">
        <v>181</v>
      </c>
      <c r="E65" t="s">
        <v>128</v>
      </c>
      <c r="F65" t="s">
        <v>124</v>
      </c>
      <c r="G65" t="str">
        <f t="shared" si="0"/>
        <v>ГИПЕРССЫЛКА("\\mycloudpr2100\ПДО учет\ММЗ\Проект 12560\12560.283.03 Тяга (А4х3).pdf";"12560.283.03")</v>
      </c>
      <c r="H65" s="9" t="str">
        <f>HYPERLINK("\\mycloudpr2100\ПДО учет\ММЗ\Проект 12560\12560.283.03 Тяга (А4х3).pdf","12560.283.03")</f>
        <v>12560.283.03</v>
      </c>
      <c r="J65" s="19">
        <v>65</v>
      </c>
      <c r="K65" s="25" t="s">
        <v>116</v>
      </c>
      <c r="L65" s="25" t="s">
        <v>32</v>
      </c>
    </row>
    <row r="66" spans="2:12" x14ac:dyDescent="0.25">
      <c r="B66" t="s">
        <v>245</v>
      </c>
      <c r="C66" t="s">
        <v>181</v>
      </c>
      <c r="E66" t="s">
        <v>129</v>
      </c>
      <c r="F66" t="s">
        <v>130</v>
      </c>
      <c r="G66" t="str">
        <f t="shared" si="0"/>
        <v>ГИПЕРССЫЛКА("\\mycloudpr2100\ПДО учет\ММЗ\Проект 12560\12560.284.00 СБ Страховочный болт (4х3).pdf";"12560.284.00СБ")</v>
      </c>
      <c r="H66" s="9" t="str">
        <f>HYPERLINK("\\mycloudpr2100\ПДО учет\ММЗ\Проект 12560\12560.284.00 СБ Страховочный болт (4х3).pdf","12560.284.00СБ")</f>
        <v>12560.284.00СБ</v>
      </c>
      <c r="I66" s="9" t="str">
        <f>HYPERLINK("\\mycloudpr2100\ПДО учет\ММЗ\Проект 12560\12560.284.00 Страховочный болт (А4).pdf","Страховочный болт")</f>
        <v>Страховочный болт</v>
      </c>
      <c r="J66" s="19">
        <v>66</v>
      </c>
      <c r="K66" s="25" t="s">
        <v>117</v>
      </c>
      <c r="L66" s="25" t="s">
        <v>118</v>
      </c>
    </row>
    <row r="67" spans="2:12" x14ac:dyDescent="0.25">
      <c r="B67" t="s">
        <v>246</v>
      </c>
      <c r="C67" t="s">
        <v>181</v>
      </c>
      <c r="E67" t="s">
        <v>290</v>
      </c>
      <c r="F67" t="s">
        <v>130</v>
      </c>
      <c r="G67" t="str">
        <f>CONCATENATE($E$1,C67,B67,$D$1,F67,$F$1)</f>
        <v>ГИПЕРССЫЛКА("\\mycloudpr2100\ПДО учет\ММЗ\Проект 12560\12560.284.00 Страховочный болт (А4).pdf";"Страховочный болт")</v>
      </c>
      <c r="J67" s="19">
        <v>67</v>
      </c>
      <c r="K67" s="25" t="s">
        <v>119</v>
      </c>
      <c r="L67" s="25" t="s">
        <v>89</v>
      </c>
    </row>
    <row r="68" spans="2:12" x14ac:dyDescent="0.25">
      <c r="B68" t="s">
        <v>247</v>
      </c>
      <c r="C68" t="s">
        <v>181</v>
      </c>
      <c r="E68" t="s">
        <v>133</v>
      </c>
      <c r="F68" t="s">
        <v>134</v>
      </c>
      <c r="G68" t="str">
        <f t="shared" ref="G68:G95" si="1">CONCATENATE($E$1,C68,B68,$D$1,E68,$F$1)</f>
        <v>ГИПЕРССЫЛКА("\\mycloudpr2100\ПДО учет\ММЗ\Проект 12560\12560.285.00 СБ Чека (А3).pdf";"12560.285.00СБ")</v>
      </c>
      <c r="H68" s="9" t="str">
        <f>HYPERLINK("\\mycloudpr2100\ПДО учет\ММЗ\Проект 12560\12560.285.00 СБ Чека (А3).pdf","12560.285.00СБ")</f>
        <v>12560.285.00СБ</v>
      </c>
      <c r="I68" s="9" t="str">
        <f>HYPERLINK("\\mycloudpr2100\ПДО учет\ММЗ\Проект 12560\12560.285.00 Чека (А4).pdf","Чека")</f>
        <v>Чека</v>
      </c>
      <c r="J68" s="19">
        <v>68</v>
      </c>
      <c r="K68" s="25" t="s">
        <v>120</v>
      </c>
      <c r="L68" s="25" t="s">
        <v>121</v>
      </c>
    </row>
    <row r="69" spans="2:12" x14ac:dyDescent="0.25">
      <c r="B69" t="s">
        <v>248</v>
      </c>
      <c r="C69" t="s">
        <v>181</v>
      </c>
      <c r="E69" t="s">
        <v>291</v>
      </c>
      <c r="F69" t="s">
        <v>134</v>
      </c>
      <c r="G69" t="str">
        <f>CONCATENATE($E$1,C69,B69,$D$1,F69,$F$1)</f>
        <v>ГИПЕРССЫЛКА("\\mycloudpr2100\ПДО учет\ММЗ\Проект 12560\12560.285.00 Чека (А4).pdf";"Чека")</v>
      </c>
      <c r="J69" s="19">
        <v>69</v>
      </c>
      <c r="K69" s="25" t="s">
        <v>47</v>
      </c>
      <c r="L69" s="25" t="s">
        <v>122</v>
      </c>
    </row>
    <row r="70" spans="2:12" x14ac:dyDescent="0.25">
      <c r="B70" t="s">
        <v>249</v>
      </c>
      <c r="C70" t="s">
        <v>181</v>
      </c>
      <c r="E70" t="s">
        <v>135</v>
      </c>
      <c r="F70" t="s">
        <v>134</v>
      </c>
      <c r="G70" t="str">
        <f t="shared" si="1"/>
        <v>ГИПЕРССЫЛКА("\\mycloudpr2100\ПДО учет\ММЗ\Проект 12560\12560.285.01 Чека (А3).pdf";"12560.285.01")</v>
      </c>
      <c r="H70" s="9" t="str">
        <f>HYPERLINK("\\mycloudpr2100\ПДО учет\ММЗ\Проект 12560\12560.285.01 Чека (А3).pdf","12560.285.01")</f>
        <v>12560.285.01</v>
      </c>
      <c r="J70" s="19">
        <v>70</v>
      </c>
      <c r="K70" s="30" t="s">
        <v>123</v>
      </c>
      <c r="L70" s="30" t="s">
        <v>124</v>
      </c>
    </row>
    <row r="71" spans="2:12" x14ac:dyDescent="0.25">
      <c r="B71" t="s">
        <v>250</v>
      </c>
      <c r="C71" t="s">
        <v>181</v>
      </c>
      <c r="E71" t="s">
        <v>136</v>
      </c>
      <c r="F71" t="s">
        <v>137</v>
      </c>
      <c r="G71" t="str">
        <f t="shared" si="1"/>
        <v>ГИПЕРССЫЛКА("\\mycloudpr2100\ПДО учет\ММЗ\Проект 12560\12560.286.00 СБ Фиксатор крыла (А2).pdf";"12560.286.00СБ")</v>
      </c>
      <c r="H71" s="9" t="str">
        <f>HYPERLINK("\\mycloudpr2100\ПДО учет\ММЗ\Проект 12560\12560.286.00 СБ Фиксатор крыла (А2).pdf","12560.286.00СБ")</f>
        <v>12560.286.00СБ</v>
      </c>
      <c r="I71" s="9" t="str">
        <f>HYPERLINK("\\mycloudpr2100\ПДО учет\ММЗ\Проект 12560\12560.286.00-Фиксатор крыла.pdf","Фиксатор крыла")</f>
        <v>Фиксатор крыла</v>
      </c>
      <c r="J71" s="19">
        <v>71</v>
      </c>
      <c r="K71" s="26" t="s">
        <v>125</v>
      </c>
      <c r="L71" s="25" t="s">
        <v>126</v>
      </c>
    </row>
    <row r="72" spans="2:12" x14ac:dyDescent="0.25">
      <c r="B72" t="s">
        <v>251</v>
      </c>
      <c r="C72" t="s">
        <v>181</v>
      </c>
      <c r="E72" t="s">
        <v>292</v>
      </c>
      <c r="F72" t="s">
        <v>137</v>
      </c>
      <c r="G72" t="str">
        <f>CONCATENATE($E$1,C72,B72,$D$1,F72,$F$1)</f>
        <v>ГИПЕРССЫЛКА("\\mycloudpr2100\ПДО учет\ММЗ\Проект 12560\12560.286.00-Фиксатор крыла.pdf";"Фиксатор крыла")</v>
      </c>
      <c r="J72" s="19">
        <v>72</v>
      </c>
      <c r="K72" s="26" t="s">
        <v>127</v>
      </c>
      <c r="L72" s="25" t="s">
        <v>40</v>
      </c>
    </row>
    <row r="73" spans="2:12" x14ac:dyDescent="0.25">
      <c r="B73" t="s">
        <v>252</v>
      </c>
      <c r="C73" t="s">
        <v>181</v>
      </c>
      <c r="E73" t="s">
        <v>138</v>
      </c>
      <c r="F73" t="s">
        <v>32</v>
      </c>
      <c r="G73" t="str">
        <f t="shared" si="1"/>
        <v>ГИПЕРССЫЛКА("\\mycloudpr2100\ПДО учет\ММЗ\Проект 12560\12560.286.01 Кронштейн (А4х3).pdf";"12560.286.01")</v>
      </c>
      <c r="H73" s="9" t="str">
        <f>HYPERLINK("\\mycloudpr2100\ПДО учет\ММЗ\Проект 12560\12560.286.01 Кронштейн (А4х3).pdf","12560.286.01")</f>
        <v>12560.286.01</v>
      </c>
      <c r="J73" s="19">
        <v>73</v>
      </c>
      <c r="K73" s="26" t="s">
        <v>128</v>
      </c>
      <c r="L73" s="25" t="s">
        <v>124</v>
      </c>
    </row>
    <row r="74" spans="2:12" x14ac:dyDescent="0.25">
      <c r="B74" t="s">
        <v>253</v>
      </c>
      <c r="C74" t="s">
        <v>181</v>
      </c>
      <c r="E74" t="s">
        <v>139</v>
      </c>
      <c r="F74" t="s">
        <v>118</v>
      </c>
      <c r="G74" t="str">
        <f t="shared" si="1"/>
        <v>ГИПЕРССЫЛКА("\\mycloudpr2100\ПДО учет\ММЗ\Проект 12560\12560.286.02 Упор (А2).pdf";"12560.286.02")</v>
      </c>
      <c r="H74" s="9" t="str">
        <f>HYPERLINK("\\mycloudpr2100\ПДО учет\ММЗ\Проект 12560\12560.286.02 Упор (А2).pdf","12560.286.02")</f>
        <v>12560.286.02</v>
      </c>
      <c r="J74" s="19">
        <v>74</v>
      </c>
      <c r="K74" s="30" t="s">
        <v>129</v>
      </c>
      <c r="L74" s="30" t="s">
        <v>130</v>
      </c>
    </row>
    <row r="75" spans="2:12" x14ac:dyDescent="0.25">
      <c r="B75" t="s">
        <v>254</v>
      </c>
      <c r="C75" t="s">
        <v>181</v>
      </c>
      <c r="E75" t="s">
        <v>140</v>
      </c>
      <c r="F75" t="s">
        <v>121</v>
      </c>
      <c r="G75" t="str">
        <f t="shared" si="1"/>
        <v>ГИПЕРССЫЛКА("\\mycloudpr2100\ПДО учет\ММЗ\Проект 12560\12560.286.03 Пружина (А2).pdf";"12560.286.03")</v>
      </c>
      <c r="H75" s="9" t="str">
        <f>HYPERLINK("\\mycloudpr2100\ПДО учет\ММЗ\Проект 12560\12560.286.03 Пружина (А2).pdf","12560.286.03")</f>
        <v>12560.286.03</v>
      </c>
      <c r="J75" s="19">
        <v>75</v>
      </c>
      <c r="K75" s="25" t="s">
        <v>47</v>
      </c>
      <c r="L75" s="25" t="s">
        <v>131</v>
      </c>
    </row>
    <row r="76" spans="2:12" x14ac:dyDescent="0.25">
      <c r="B76" t="s">
        <v>255</v>
      </c>
      <c r="C76" t="s">
        <v>181</v>
      </c>
      <c r="E76" t="s">
        <v>141</v>
      </c>
      <c r="F76" t="s">
        <v>83</v>
      </c>
      <c r="G76" t="str">
        <f t="shared" si="1"/>
        <v>ГИПЕРССЫЛКА("\\mycloudpr2100\ПДО учет\ММЗ\Проект 12560\12560.286.04 Втулка (А3).pdf";"12560.286.04")</v>
      </c>
      <c r="H76" s="9" t="str">
        <f>HYPERLINK("\\mycloudpr2100\ПДО учет\ММЗ\Проект 12560\12560.286.04 Втулка (А3).pdf","12560.286.04")</f>
        <v>12560.286.04</v>
      </c>
      <c r="J76" s="19">
        <v>76</v>
      </c>
      <c r="K76" s="25" t="s">
        <v>47</v>
      </c>
      <c r="L76" s="25" t="s">
        <v>132</v>
      </c>
    </row>
    <row r="77" spans="2:12" x14ac:dyDescent="0.25">
      <c r="B77" t="s">
        <v>256</v>
      </c>
      <c r="C77" t="s">
        <v>181</v>
      </c>
      <c r="E77" t="s">
        <v>142</v>
      </c>
      <c r="F77" t="s">
        <v>121</v>
      </c>
      <c r="G77" t="str">
        <f t="shared" si="1"/>
        <v>ГИПЕРССЫЛКА("\\mycloudpr2100\ПДО учет\ММЗ\Проект 12560\12560.286.05 Пружина (А2).pdf";"12560.286.05")</v>
      </c>
      <c r="H77" s="9" t="str">
        <f>HYPERLINK("\\mycloudpr2100\ПДО учет\ММЗ\Проект 12560\12560.286.05 Пружина (А2).pdf","12560.286.05")</f>
        <v>12560.286.05</v>
      </c>
      <c r="J77" s="19">
        <v>77</v>
      </c>
      <c r="K77" s="30" t="s">
        <v>133</v>
      </c>
      <c r="L77" s="30" t="s">
        <v>134</v>
      </c>
    </row>
    <row r="78" spans="2:12" x14ac:dyDescent="0.25">
      <c r="B78" t="s">
        <v>257</v>
      </c>
      <c r="C78" t="s">
        <v>181</v>
      </c>
      <c r="E78" t="s">
        <v>143</v>
      </c>
      <c r="F78" t="s">
        <v>109</v>
      </c>
      <c r="G78" t="str">
        <f t="shared" si="1"/>
        <v>ГИПЕРССЫЛКА("\\mycloudpr2100\ПДО учет\ММЗ\Проект 12560\12560.286.06 Болт (А3).pdf";"12560.286.06")</v>
      </c>
      <c r="H78" s="9" t="str">
        <f>HYPERLINK("\\mycloudpr2100\ПДО учет\ММЗ\Проект 12560\12560.286.06 Болт (А3).pdf","12560.286.06")</f>
        <v>12560.286.06</v>
      </c>
      <c r="J78" s="19">
        <v>78</v>
      </c>
      <c r="K78" s="25" t="s">
        <v>47</v>
      </c>
      <c r="L78" s="25" t="s">
        <v>131</v>
      </c>
    </row>
    <row r="79" spans="2:12" x14ac:dyDescent="0.25">
      <c r="B79" t="s">
        <v>258</v>
      </c>
      <c r="C79" t="s">
        <v>181</v>
      </c>
      <c r="E79" t="s">
        <v>144</v>
      </c>
      <c r="F79" t="s">
        <v>145</v>
      </c>
      <c r="G79" t="str">
        <f t="shared" si="1"/>
        <v>ГИПЕРССЫЛКА("\\mycloudpr2100\ПДО учет\ММЗ\Проект 12560\12560.295.01 Кронштейн двигателя (А4х3).pdf";"12560.295.01")</v>
      </c>
      <c r="H79" s="9" t="str">
        <f>HYPERLINK("\\mycloudpr2100\ПДО учет\ММЗ\Проект 12560\12560.295.01 Кронштейн двигателя (А4х3).pdf","12560.295.01")</f>
        <v>12560.295.01</v>
      </c>
      <c r="J79" s="19">
        <v>79</v>
      </c>
      <c r="K79" s="25" t="s">
        <v>135</v>
      </c>
      <c r="L79" s="25" t="s">
        <v>134</v>
      </c>
    </row>
    <row r="80" spans="2:12" x14ac:dyDescent="0.25">
      <c r="B80" t="s">
        <v>259</v>
      </c>
      <c r="C80" t="s">
        <v>181</v>
      </c>
      <c r="E80" t="s">
        <v>147</v>
      </c>
      <c r="F80" t="s">
        <v>148</v>
      </c>
      <c r="G80" t="str">
        <f t="shared" si="1"/>
        <v>ГИПЕРССЫЛКА("\\mycloudpr2100\ПДО учет\ММЗ\Проект 12560\12560.298.07 Рамка центральная (А3).pdf";"12560.298.07")</v>
      </c>
      <c r="H80" s="9" t="str">
        <f>HYPERLINK("\\mycloudpr2100\ПДО учет\ММЗ\Проект 12560\12560.298.07 Рамка центральная (А3).pdf","12560.298.07")</f>
        <v>12560.298.07</v>
      </c>
      <c r="J80" s="19">
        <v>80</v>
      </c>
      <c r="K80" s="30" t="s">
        <v>136</v>
      </c>
      <c r="L80" s="30" t="s">
        <v>137</v>
      </c>
    </row>
    <row r="81" spans="2:12" x14ac:dyDescent="0.25">
      <c r="B81" t="s">
        <v>260</v>
      </c>
      <c r="C81" t="s">
        <v>181</v>
      </c>
      <c r="E81" t="s">
        <v>149</v>
      </c>
      <c r="F81" t="s">
        <v>150</v>
      </c>
      <c r="G81" t="str">
        <f t="shared" si="1"/>
        <v>ГИПЕРССЫЛКА("\\mycloudpr2100\ПДО учет\ММЗ\Проект 12560\12560.298.08 Рамка боковая (А3).pdf";"12560.298.08")</v>
      </c>
      <c r="H81" s="9" t="str">
        <f>HYPERLINK("\\mycloudpr2100\ПДО учет\ММЗ\Проект 12560\12560.298.08 Рамка боковая (А3).pdf","12560.298.08")</f>
        <v>12560.298.08</v>
      </c>
      <c r="J81" s="19">
        <v>81</v>
      </c>
      <c r="K81" s="25" t="s">
        <v>138</v>
      </c>
      <c r="L81" s="25" t="s">
        <v>32</v>
      </c>
    </row>
    <row r="82" spans="2:12" x14ac:dyDescent="0.25">
      <c r="B82" t="s">
        <v>261</v>
      </c>
      <c r="C82" t="s">
        <v>181</v>
      </c>
      <c r="E82" t="s">
        <v>151</v>
      </c>
      <c r="F82" t="s">
        <v>280</v>
      </c>
      <c r="G82" t="str">
        <f t="shared" si="1"/>
        <v>ГИПЕРССЫЛКА("\\mycloudpr2100\ПДО учет\ММЗ\Проект 12560\12560.320.02 Кронштейн разъемов двигателя (А2).pdf";"12560.320.02")</v>
      </c>
      <c r="H82" s="9" t="str">
        <f>HYPERLINK("\\mycloudpr2100\ПДО учет\ММЗ\Проект 12560\12560.320.02 Кронштейн разъемов двигателя (А2).pdf","12560.320.02")</f>
        <v>12560.320.02</v>
      </c>
      <c r="J82" s="19">
        <v>82</v>
      </c>
      <c r="K82" s="25" t="s">
        <v>139</v>
      </c>
      <c r="L82" s="25" t="s">
        <v>118</v>
      </c>
    </row>
    <row r="83" spans="2:12" x14ac:dyDescent="0.25">
      <c r="B83" t="s">
        <v>262</v>
      </c>
      <c r="C83" t="s">
        <v>181</v>
      </c>
      <c r="E83" t="s">
        <v>153</v>
      </c>
      <c r="F83" t="s">
        <v>281</v>
      </c>
      <c r="G83" t="str">
        <f t="shared" si="1"/>
        <v>ГИПЕРССЫЛКА("\\mycloudpr2100\ПДО учет\ММЗ\Проект 12560\12560.320.03 Кронштейн разьема привода (А3).pdf";"12560.320.03")</v>
      </c>
      <c r="H83" s="9" t="str">
        <f>HYPERLINK("\\mycloudpr2100\ПДО учет\ММЗ\Проект 12560\12560.320.03 Кронштейн разьема привода (А3).pdf","12560.320.03")</f>
        <v>12560.320.03</v>
      </c>
      <c r="J83" s="19">
        <v>83</v>
      </c>
      <c r="K83" s="25" t="s">
        <v>140</v>
      </c>
      <c r="L83" s="25" t="s">
        <v>121</v>
      </c>
    </row>
    <row r="84" spans="2:12" x14ac:dyDescent="0.25">
      <c r="B84" t="s">
        <v>263</v>
      </c>
      <c r="C84" t="s">
        <v>181</v>
      </c>
      <c r="E84" t="s">
        <v>155</v>
      </c>
      <c r="F84" t="s">
        <v>32</v>
      </c>
      <c r="G84" t="str">
        <f t="shared" si="1"/>
        <v>ГИПЕРССЫЛКА("\\mycloudpr2100\ПДО учет\ММЗ\Проект 12560\12560.320.07 Кронштейн (А3).pdf";"12560.320.07")</v>
      </c>
      <c r="H84" s="9" t="str">
        <f>HYPERLINK("\\mycloudpr2100\ПДО учет\ММЗ\Проект 12560\12560.320.07 Кронштейн (А3).pdf","12560.320.07")</f>
        <v>12560.320.07</v>
      </c>
      <c r="J84" s="19">
        <v>84</v>
      </c>
      <c r="K84" s="25" t="s">
        <v>141</v>
      </c>
      <c r="L84" s="25" t="s">
        <v>83</v>
      </c>
    </row>
    <row r="85" spans="2:12" x14ac:dyDescent="0.25">
      <c r="B85" t="s">
        <v>264</v>
      </c>
      <c r="C85" t="s">
        <v>181</v>
      </c>
      <c r="E85" t="s">
        <v>156</v>
      </c>
      <c r="F85" t="s">
        <v>77</v>
      </c>
      <c r="G85" t="str">
        <f t="shared" si="1"/>
        <v>ГИПЕРССЫЛКА("\\mycloudpr2100\ПДО учет\ММЗ\Проект 12560\12560.338.01 Пластина (А3).pdf";"12560.338.01")</v>
      </c>
      <c r="H85" s="9" t="str">
        <f>HYPERLINK("\\mycloudpr2100\ПДО учет\ММЗ\Проект 12560\12560.338.01 Пластина (А3).pdf","12560.338.01")</f>
        <v>12560.338.01</v>
      </c>
      <c r="J85" s="19">
        <v>85</v>
      </c>
      <c r="K85" s="25" t="s">
        <v>142</v>
      </c>
      <c r="L85" s="25" t="s">
        <v>121</v>
      </c>
    </row>
    <row r="86" spans="2:12" x14ac:dyDescent="0.25">
      <c r="B86" t="s">
        <v>265</v>
      </c>
      <c r="C86" t="s">
        <v>181</v>
      </c>
      <c r="E86" t="s">
        <v>157</v>
      </c>
      <c r="F86" t="s">
        <v>132</v>
      </c>
      <c r="G86" t="str">
        <f t="shared" si="1"/>
        <v>ГИПЕРССЫЛКА("\\mycloudpr2100\ПДО учет\ММЗ\Проект 12560\12560.340.03 Кольцо (А4).pdf";"12560.340.03")</v>
      </c>
      <c r="H86" s="9" t="str">
        <f>HYPERLINK("\\mycloudpr2100\ПДО учет\ММЗ\Проект 12560\12560.340.03 Кольцо (А4).pdf","12560.340.03")</f>
        <v>12560.340.03</v>
      </c>
      <c r="J86" s="19">
        <v>86</v>
      </c>
      <c r="K86" s="25" t="s">
        <v>143</v>
      </c>
      <c r="L86" s="25" t="s">
        <v>109</v>
      </c>
    </row>
    <row r="87" spans="2:12" x14ac:dyDescent="0.25">
      <c r="B87" t="s">
        <v>266</v>
      </c>
      <c r="C87" t="s">
        <v>181</v>
      </c>
      <c r="E87" t="s">
        <v>158</v>
      </c>
      <c r="F87" t="s">
        <v>106</v>
      </c>
      <c r="G87" t="str">
        <f t="shared" si="1"/>
        <v>ГИПЕРССЫЛКА("\\mycloudpr2100\ПДО учет\ММЗ\Проект 12560\12560.340.04 Шайба (А4).pdf";"12560.340.04")</v>
      </c>
      <c r="H87" s="9" t="str">
        <f>HYPERLINK("\\mycloudpr2100\ПДО учет\ММЗ\Проект 12560\12560.340.04 Шайба (А4).pdf","12560.340.04")</f>
        <v>12560.340.04</v>
      </c>
      <c r="J87" s="19">
        <v>87</v>
      </c>
      <c r="K87" s="25" t="s">
        <v>144</v>
      </c>
      <c r="L87" s="25" t="s">
        <v>145</v>
      </c>
    </row>
    <row r="88" spans="2:12" x14ac:dyDescent="0.25">
      <c r="B88" t="s">
        <v>267</v>
      </c>
      <c r="C88" t="s">
        <v>181</v>
      </c>
      <c r="E88" t="s">
        <v>159</v>
      </c>
      <c r="F88" t="s">
        <v>160</v>
      </c>
      <c r="G88" t="str">
        <f t="shared" si="1"/>
        <v>ГИПЕРССЫЛКА("\\mycloudpr2100\ПДО учет\ММЗ\Проект 12560\12560.370.05 Труба (А3).pdf";"12560.370.05")</v>
      </c>
      <c r="H88" s="9" t="str">
        <f>HYPERLINK("\\mycloudpr2100\ПДО учет\ММЗ\Проект 12560\12560.370.05 Труба (А3).pdf","12560.370.05")</f>
        <v>12560.370.05</v>
      </c>
      <c r="J88" s="19">
        <v>88</v>
      </c>
      <c r="K88" s="25" t="s">
        <v>146</v>
      </c>
      <c r="L88" s="25" t="s">
        <v>145</v>
      </c>
    </row>
    <row r="89" spans="2:12" x14ac:dyDescent="0.25">
      <c r="B89" t="s">
        <v>268</v>
      </c>
      <c r="C89" t="s">
        <v>181</v>
      </c>
      <c r="E89" t="s">
        <v>161</v>
      </c>
      <c r="F89" t="s">
        <v>32</v>
      </c>
      <c r="G89" t="str">
        <f t="shared" si="1"/>
        <v>ГИПЕРССЫЛКА("\\mycloudpr2100\ПДО учет\ММЗ\Проект 12560\12560.370.06 Кронштейн (А3).pdf";"12560.370.06")</v>
      </c>
      <c r="H89" s="9" t="str">
        <f>HYPERLINK("\\mycloudpr2100\ПДО учет\ММЗ\Проект 12560\12560.370.06 Кронштейн (А3).pdf","12560.370.06")</f>
        <v>12560.370.06</v>
      </c>
      <c r="J89" s="19">
        <v>89</v>
      </c>
      <c r="K89" s="25" t="s">
        <v>147</v>
      </c>
      <c r="L89" s="25" t="s">
        <v>148</v>
      </c>
    </row>
    <row r="90" spans="2:12" x14ac:dyDescent="0.25">
      <c r="B90" t="s">
        <v>269</v>
      </c>
      <c r="C90" t="s">
        <v>181</v>
      </c>
      <c r="E90" t="s">
        <v>163</v>
      </c>
      <c r="F90" t="s">
        <v>23</v>
      </c>
      <c r="G90" t="str">
        <f t="shared" si="1"/>
        <v>ГИПЕРССЫЛКА("\\mycloudpr2100\ПДО учет\ММЗ\Проект 12560\12560.370.07 Хомут (А3).pdf";"12560.370.07")</v>
      </c>
      <c r="H90" s="9" t="str">
        <f>HYPERLINK("\\mycloudpr2100\ПДО учет\ММЗ\Проект 12560\12560.370.07 Хомут (А3).pdf","12560.370.07")</f>
        <v>12560.370.07</v>
      </c>
      <c r="J90" s="19">
        <v>90</v>
      </c>
      <c r="K90" s="25" t="s">
        <v>149</v>
      </c>
      <c r="L90" s="25" t="s">
        <v>150</v>
      </c>
    </row>
    <row r="91" spans="2:12" x14ac:dyDescent="0.25">
      <c r="B91" t="s">
        <v>270</v>
      </c>
      <c r="C91" t="s">
        <v>181</v>
      </c>
      <c r="E91" t="s">
        <v>164</v>
      </c>
      <c r="F91" t="s">
        <v>165</v>
      </c>
      <c r="G91" t="str">
        <f t="shared" si="1"/>
        <v>ГИПЕРССЫЛКА("\\mycloudpr2100\ПДО учет\ММЗ\Проект 12560\12560.370.15 Втулка дроссельная (А4).pdf";"12560.370.15")</v>
      </c>
      <c r="H91" s="9" t="str">
        <f>HYPERLINK("\\mycloudpr2100\ПДО учет\ММЗ\Проект 12560\12560.370.15 Втулка дроссельная (А4).pdf","12560.370.15")</f>
        <v>12560.370.15</v>
      </c>
      <c r="J91" s="19">
        <v>91</v>
      </c>
      <c r="K91" s="25" t="s">
        <v>151</v>
      </c>
      <c r="L91" s="25" t="s">
        <v>152</v>
      </c>
    </row>
    <row r="92" spans="2:12" x14ac:dyDescent="0.25">
      <c r="B92" t="s">
        <v>271</v>
      </c>
      <c r="C92" t="s">
        <v>181</v>
      </c>
      <c r="E92" t="s">
        <v>166</v>
      </c>
      <c r="F92" t="s">
        <v>40</v>
      </c>
      <c r="G92" t="str">
        <f t="shared" si="1"/>
        <v>ГИПЕРССЫЛКА("\\mycloudpr2100\ПДО учет\ММЗ\Проект 12560\12560.381.02 Гайка (А4).pdf";"12560.381.02")</v>
      </c>
      <c r="H92" s="9" t="str">
        <f>HYPERLINK("\\mycloudpr2100\ПДО учет\ММЗ\Проект 12560\12560.381.02 Гайка (А4).pdf","12560.381.02")</f>
        <v>12560.381.02</v>
      </c>
      <c r="J92" s="19">
        <v>92</v>
      </c>
      <c r="K92" s="25" t="s">
        <v>153</v>
      </c>
      <c r="L92" s="25" t="s">
        <v>154</v>
      </c>
    </row>
    <row r="93" spans="2:12" x14ac:dyDescent="0.25">
      <c r="B93" t="s">
        <v>272</v>
      </c>
      <c r="C93" t="s">
        <v>181</v>
      </c>
      <c r="E93" t="s">
        <v>167</v>
      </c>
      <c r="F93" t="s">
        <v>32</v>
      </c>
      <c r="G93" t="str">
        <f t="shared" si="1"/>
        <v>ГИПЕРССЫЛКА("\\mycloudpr2100\ПДО учет\ММЗ\Проект 12560\12560.383.01 Кронштейн (А3).pdf";"12560.383.01")</v>
      </c>
      <c r="H93" s="9" t="str">
        <f>HYPERLINK("\\mycloudpr2100\ПДО учет\ММЗ\Проект 12560\12560.383.01 Кронштейн (А3).pdf","12560.383.01")</f>
        <v>12560.383.01</v>
      </c>
      <c r="J93" s="19">
        <v>93</v>
      </c>
      <c r="K93" s="25" t="s">
        <v>155</v>
      </c>
      <c r="L93" s="25" t="s">
        <v>32</v>
      </c>
    </row>
    <row r="94" spans="2:12" x14ac:dyDescent="0.25">
      <c r="B94" t="s">
        <v>273</v>
      </c>
      <c r="C94" t="s">
        <v>181</v>
      </c>
      <c r="E94" t="s">
        <v>168</v>
      </c>
      <c r="F94" t="s">
        <v>48</v>
      </c>
      <c r="G94" t="str">
        <f t="shared" si="1"/>
        <v>ГИПЕРССЫЛКА("\\mycloudpr2100\ПДО учет\ММЗ\Проект 12560\12560.388.02 Прокладка (А4).pdf";"12560.388.02")</v>
      </c>
      <c r="H94" s="9" t="str">
        <f>HYPERLINK("\\mycloudpr2100\ПДО учет\ММЗ\Проект 12560\12560.388.02 Прокладка (А4).pdf","12560.388.02")</f>
        <v>12560.388.02</v>
      </c>
      <c r="J94" s="19">
        <v>94</v>
      </c>
      <c r="K94" s="25" t="s">
        <v>156</v>
      </c>
      <c r="L94" s="25" t="s">
        <v>77</v>
      </c>
    </row>
    <row r="95" spans="2:12" x14ac:dyDescent="0.25">
      <c r="B95" t="s">
        <v>274</v>
      </c>
      <c r="C95" t="s">
        <v>181</v>
      </c>
      <c r="E95" t="s">
        <v>169</v>
      </c>
      <c r="F95" t="s">
        <v>48</v>
      </c>
      <c r="G95" t="str">
        <f t="shared" si="1"/>
        <v>ГИПЕРССЫЛКА("\\mycloudpr2100\ПДО учет\ММЗ\Проект 12560\12560.388.03 Прокладка (А4).pdf";"12560.388.03")</v>
      </c>
      <c r="H95" s="9" t="str">
        <f>HYPERLINK("\\mycloudpr2100\ПДО учет\ММЗ\Проект 12560\12560.388.03 Прокладка (А4).pdf","12560.388.03")</f>
        <v>12560.388.03</v>
      </c>
      <c r="J95" s="19">
        <v>95</v>
      </c>
      <c r="K95" s="25" t="s">
        <v>157</v>
      </c>
      <c r="L95" s="25" t="s">
        <v>132</v>
      </c>
    </row>
    <row r="96" spans="2:12" x14ac:dyDescent="0.25">
      <c r="J96" s="19">
        <v>96</v>
      </c>
      <c r="K96" s="25" t="s">
        <v>158</v>
      </c>
      <c r="L96" s="25" t="s">
        <v>106</v>
      </c>
    </row>
    <row r="97" spans="10:12" x14ac:dyDescent="0.25">
      <c r="J97" s="19">
        <v>97</v>
      </c>
      <c r="K97" s="25" t="s">
        <v>159</v>
      </c>
      <c r="L97" s="25" t="s">
        <v>160</v>
      </c>
    </row>
    <row r="98" spans="10:12" x14ac:dyDescent="0.25">
      <c r="J98" s="19">
        <v>98</v>
      </c>
      <c r="K98" s="25" t="s">
        <v>161</v>
      </c>
      <c r="L98" s="25" t="s">
        <v>32</v>
      </c>
    </row>
    <row r="99" spans="10:12" x14ac:dyDescent="0.25">
      <c r="J99" s="19">
        <v>99</v>
      </c>
      <c r="K99" s="25" t="s">
        <v>162</v>
      </c>
      <c r="L99" s="25" t="s">
        <v>32</v>
      </c>
    </row>
    <row r="100" spans="10:12" x14ac:dyDescent="0.25">
      <c r="J100" s="19">
        <v>100</v>
      </c>
      <c r="K100" s="25" t="s">
        <v>163</v>
      </c>
      <c r="L100" s="25" t="s">
        <v>23</v>
      </c>
    </row>
    <row r="101" spans="10:12" x14ac:dyDescent="0.25">
      <c r="J101" s="19">
        <v>101</v>
      </c>
      <c r="K101" s="25" t="s">
        <v>164</v>
      </c>
      <c r="L101" s="25" t="s">
        <v>165</v>
      </c>
    </row>
    <row r="102" spans="10:12" x14ac:dyDescent="0.25">
      <c r="J102" s="19">
        <v>102</v>
      </c>
      <c r="K102" s="25" t="s">
        <v>166</v>
      </c>
      <c r="L102" s="25" t="s">
        <v>40</v>
      </c>
    </row>
    <row r="103" spans="10:12" x14ac:dyDescent="0.25">
      <c r="J103" s="19">
        <v>103</v>
      </c>
      <c r="K103" s="25" t="s">
        <v>167</v>
      </c>
      <c r="L103" s="25" t="s">
        <v>32</v>
      </c>
    </row>
    <row r="104" spans="10:12" x14ac:dyDescent="0.25">
      <c r="J104" s="19">
        <v>104</v>
      </c>
      <c r="K104" s="25" t="s">
        <v>168</v>
      </c>
      <c r="L104" s="25" t="s">
        <v>48</v>
      </c>
    </row>
    <row r="105" spans="10:12" x14ac:dyDescent="0.25">
      <c r="J105" s="19">
        <v>105</v>
      </c>
      <c r="K105" s="25" t="s">
        <v>169</v>
      </c>
      <c r="L105" s="25" t="s">
        <v>48</v>
      </c>
    </row>
  </sheetData>
  <autoFilter ref="A1:I95" xr:uid="{B289BBD1-E11B-4A9B-854C-BDEA7560D0FC}"/>
  <conditionalFormatting sqref="K27:K1048576 K1">
    <cfRule type="duplicateValues" dxfId="4" priority="1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1ADB-521F-49AA-9CAE-4FF08922F23B}">
  <dimension ref="B1:AE139"/>
  <sheetViews>
    <sheetView topLeftCell="G1" zoomScaleNormal="100" workbookViewId="0">
      <selection activeCell="N1" sqref="N1:S1048576"/>
    </sheetView>
  </sheetViews>
  <sheetFormatPr defaultRowHeight="15" x14ac:dyDescent="0.25"/>
  <cols>
    <col min="2" max="2" width="17.28515625" customWidth="1"/>
    <col min="3" max="3" width="21.5703125" customWidth="1"/>
    <col min="5" max="5" width="24.28515625" style="2" customWidth="1"/>
    <col min="6" max="6" width="30.140625" style="2" customWidth="1"/>
    <col min="9" max="9" width="3.85546875" style="52" customWidth="1"/>
    <col min="10" max="10" width="5.140625" customWidth="1"/>
    <col min="11" max="11" width="6" style="3" customWidth="1"/>
    <col min="12" max="12" width="24.28515625" style="2" customWidth="1"/>
    <col min="13" max="13" width="29" style="2" customWidth="1"/>
    <col min="20" max="20" width="40" style="2" customWidth="1"/>
  </cols>
  <sheetData>
    <row r="1" spans="2:31" x14ac:dyDescent="0.25">
      <c r="B1">
        <v>1</v>
      </c>
      <c r="D1" s="19">
        <v>1</v>
      </c>
      <c r="E1" s="14" t="s">
        <v>4</v>
      </c>
      <c r="F1" s="14" t="s">
        <v>0</v>
      </c>
      <c r="I1" s="51">
        <v>1</v>
      </c>
      <c r="J1" s="11" t="s">
        <v>17</v>
      </c>
      <c r="K1" s="12" t="s">
        <v>2</v>
      </c>
      <c r="L1" s="14" t="s">
        <v>4</v>
      </c>
      <c r="M1" s="14" t="s">
        <v>0</v>
      </c>
      <c r="N1" s="57">
        <v>46357</v>
      </c>
      <c r="O1" s="57">
        <v>46388</v>
      </c>
      <c r="P1" s="57">
        <v>46419</v>
      </c>
      <c r="Q1" s="57">
        <v>46447</v>
      </c>
      <c r="R1" s="57">
        <v>46478</v>
      </c>
      <c r="S1" t="s">
        <v>340</v>
      </c>
      <c r="T1" s="53"/>
      <c r="V1" t="s">
        <v>335</v>
      </c>
      <c r="W1" t="s">
        <v>336</v>
      </c>
      <c r="X1" t="s">
        <v>337</v>
      </c>
      <c r="Y1" t="s">
        <v>338</v>
      </c>
      <c r="AE1" t="s">
        <v>339</v>
      </c>
    </row>
    <row r="2" spans="2:31" x14ac:dyDescent="0.25">
      <c r="B2" s="9" t="str">
        <f>HYPERLINK("\\mycloudpr2100\ПДО учет\ММЗ\Проект 12560\12560.016.00 СБ Хомут (А4х3).pdf","12560.016.00СБ")</f>
        <v>12560.016.00СБ</v>
      </c>
      <c r="C2" s="9" t="str">
        <f>HYPERLINK("\\mycloudpr2100\ПДО учет\ММЗ\Проект 12560\12560.016.00 Хомут (А4).pdf","Хомут")</f>
        <v>Хомут</v>
      </c>
      <c r="D2" s="19">
        <v>2</v>
      </c>
      <c r="E2" s="30" t="s">
        <v>22</v>
      </c>
      <c r="F2" s="30" t="s">
        <v>23</v>
      </c>
      <c r="I2" s="43">
        <v>2</v>
      </c>
      <c r="J2" s="44">
        <v>1</v>
      </c>
      <c r="K2" s="45" t="s">
        <v>170</v>
      </c>
      <c r="L2" s="47" t="s">
        <v>22</v>
      </c>
      <c r="M2" s="47" t="s">
        <v>23</v>
      </c>
      <c r="N2">
        <v>400</v>
      </c>
      <c r="O2">
        <v>400</v>
      </c>
      <c r="P2">
        <v>400</v>
      </c>
      <c r="Q2">
        <v>360</v>
      </c>
      <c r="R2">
        <v>360</v>
      </c>
      <c r="S2">
        <v>1920</v>
      </c>
      <c r="T2" s="54"/>
      <c r="Y2" s="57">
        <v>46357</v>
      </c>
      <c r="Z2" s="57">
        <v>46388</v>
      </c>
      <c r="AA2" s="57">
        <v>46419</v>
      </c>
      <c r="AB2" s="57">
        <v>46447</v>
      </c>
      <c r="AC2" s="57">
        <v>46478</v>
      </c>
      <c r="AD2" t="s">
        <v>340</v>
      </c>
    </row>
    <row r="3" spans="2:31" x14ac:dyDescent="0.25">
      <c r="B3" s="9" t="str">
        <f>HYPERLINK("\\mycloudpr2100\ПДО учет\ММЗ\Проект 12560\12560.016.01 Валик (А4).pdf","12560.016.01")</f>
        <v>12560.016.01</v>
      </c>
      <c r="C3" s="25" t="s">
        <v>25</v>
      </c>
      <c r="D3" s="19">
        <v>3</v>
      </c>
      <c r="E3" s="25" t="s">
        <v>24</v>
      </c>
      <c r="I3" s="51">
        <v>3</v>
      </c>
      <c r="J3" s="26">
        <v>1</v>
      </c>
      <c r="K3" s="28" t="s">
        <v>172</v>
      </c>
      <c r="L3" s="41" t="s">
        <v>24</v>
      </c>
      <c r="M3" s="25" t="s">
        <v>25</v>
      </c>
      <c r="T3" s="55"/>
      <c r="V3">
        <v>1</v>
      </c>
      <c r="W3" t="s">
        <v>22</v>
      </c>
      <c r="X3" t="s">
        <v>23</v>
      </c>
      <c r="Y3">
        <v>400</v>
      </c>
      <c r="Z3">
        <v>400</v>
      </c>
      <c r="AA3">
        <v>400</v>
      </c>
      <c r="AB3">
        <v>360</v>
      </c>
      <c r="AC3">
        <v>360</v>
      </c>
      <c r="AD3">
        <v>1920</v>
      </c>
    </row>
    <row r="4" spans="2:31" x14ac:dyDescent="0.25">
      <c r="B4" s="9" t="str">
        <f>HYPERLINK("\\mycloudpr2100\ПДО учет\ММЗ\Проект 12560\12560.016.01 Валик (А4).pdf","12560.016.01")</f>
        <v>12560.016.01</v>
      </c>
      <c r="C4" s="25" t="s">
        <v>25</v>
      </c>
      <c r="D4" s="19">
        <v>4</v>
      </c>
      <c r="E4" s="25" t="s">
        <v>26</v>
      </c>
      <c r="I4" s="51">
        <v>4</v>
      </c>
      <c r="J4" s="26">
        <v>1</v>
      </c>
      <c r="K4" s="28" t="s">
        <v>172</v>
      </c>
      <c r="L4" s="41" t="s">
        <v>26</v>
      </c>
      <c r="M4" s="25" t="s">
        <v>25</v>
      </c>
      <c r="T4" s="55"/>
      <c r="W4" t="s">
        <v>24</v>
      </c>
      <c r="X4" t="s">
        <v>25</v>
      </c>
    </row>
    <row r="5" spans="2:31" x14ac:dyDescent="0.25">
      <c r="B5" s="9" t="str">
        <f>HYPERLINK("\\mycloudpr2100\ПДО учет\ММЗ\Проект 12560\12560.016.02 Шпилька (А4).pdf","12560.016.02")</f>
        <v>12560.016.02</v>
      </c>
      <c r="C5" s="25" t="s">
        <v>28</v>
      </c>
      <c r="D5" s="19">
        <v>5</v>
      </c>
      <c r="E5" s="25" t="s">
        <v>27</v>
      </c>
      <c r="I5" s="51">
        <v>5</v>
      </c>
      <c r="J5" s="26">
        <v>1</v>
      </c>
      <c r="K5" s="28" t="s">
        <v>172</v>
      </c>
      <c r="L5" s="41" t="s">
        <v>27</v>
      </c>
      <c r="M5" s="25" t="s">
        <v>28</v>
      </c>
      <c r="T5" s="55"/>
      <c r="W5" t="s">
        <v>26</v>
      </c>
      <c r="X5" t="s">
        <v>25</v>
      </c>
    </row>
    <row r="6" spans="2:31" x14ac:dyDescent="0.25">
      <c r="B6" s="25" t="s">
        <v>29</v>
      </c>
      <c r="C6" s="25" t="s">
        <v>30</v>
      </c>
      <c r="D6" s="19">
        <v>6</v>
      </c>
      <c r="E6" s="25" t="s">
        <v>29</v>
      </c>
      <c r="I6" s="51">
        <v>6</v>
      </c>
      <c r="J6" s="26">
        <v>1</v>
      </c>
      <c r="K6" s="28" t="s">
        <v>172</v>
      </c>
      <c r="L6" s="25" t="s">
        <v>293</v>
      </c>
      <c r="M6" s="25" t="s">
        <v>30</v>
      </c>
      <c r="T6" s="55"/>
      <c r="W6" t="s">
        <v>27</v>
      </c>
      <c r="X6" t="s">
        <v>28</v>
      </c>
    </row>
    <row r="7" spans="2:31" x14ac:dyDescent="0.25">
      <c r="B7" s="9" t="str">
        <f>HYPERLINK("\\mycloudpr2100\ПДО учет\ММЗ\Проект 12560\12560.017.01 Кронштейн (А2).pdf","12560.017.01")</f>
        <v>12560.017.01</v>
      </c>
      <c r="C7" s="25" t="s">
        <v>32</v>
      </c>
      <c r="D7" s="19">
        <v>7</v>
      </c>
      <c r="E7" s="25" t="s">
        <v>31</v>
      </c>
      <c r="I7" s="51">
        <v>7</v>
      </c>
      <c r="J7" s="25"/>
      <c r="K7" s="28" t="s">
        <v>2</v>
      </c>
      <c r="L7" s="28" t="s">
        <v>294</v>
      </c>
      <c r="M7" s="49"/>
      <c r="T7" s="55"/>
      <c r="W7" t="s">
        <v>29</v>
      </c>
      <c r="X7" t="s">
        <v>30</v>
      </c>
    </row>
    <row r="8" spans="2:31" x14ac:dyDescent="0.25">
      <c r="B8" s="9" t="str">
        <f>HYPERLINK("\\mycloudpr2100\ПДО учет\ММЗ\Проект 12560\12560.017.01 Кронштейн (А2).pdf","12560.017.01")</f>
        <v>12560.017.01</v>
      </c>
      <c r="C8" s="25" t="s">
        <v>32</v>
      </c>
      <c r="D8" s="19">
        <v>8</v>
      </c>
      <c r="E8" s="25" t="s">
        <v>31</v>
      </c>
      <c r="I8" s="51">
        <v>8</v>
      </c>
      <c r="J8" s="25"/>
      <c r="K8" s="28" t="s">
        <v>295</v>
      </c>
      <c r="L8" s="28" t="s">
        <v>296</v>
      </c>
      <c r="M8" s="49"/>
      <c r="T8" s="55"/>
      <c r="V8">
        <v>2</v>
      </c>
      <c r="W8" t="s">
        <v>31</v>
      </c>
      <c r="X8" t="s">
        <v>32</v>
      </c>
      <c r="Y8">
        <v>200</v>
      </c>
      <c r="Z8">
        <v>200</v>
      </c>
      <c r="AA8">
        <v>200</v>
      </c>
      <c r="AB8">
        <v>180</v>
      </c>
      <c r="AC8">
        <v>180</v>
      </c>
      <c r="AD8">
        <v>960</v>
      </c>
    </row>
    <row r="9" spans="2:31" x14ac:dyDescent="0.25">
      <c r="B9" s="9" t="str">
        <f>HYPERLINK("\\mycloudpr2100\ПДО учет\ММЗ\Проект 12560\12560.140.01 Кронтейн термостата (А3).pdf","12560.140.01")</f>
        <v>12560.140.01</v>
      </c>
      <c r="C9" s="25" t="s">
        <v>34</v>
      </c>
      <c r="D9" s="19">
        <v>9</v>
      </c>
      <c r="E9" s="25" t="s">
        <v>33</v>
      </c>
      <c r="I9" s="43">
        <v>9</v>
      </c>
      <c r="J9" s="44">
        <v>12</v>
      </c>
      <c r="K9" s="45" t="s">
        <v>170</v>
      </c>
      <c r="L9" s="47" t="s">
        <v>45</v>
      </c>
      <c r="M9" s="47" t="s">
        <v>46</v>
      </c>
      <c r="N9">
        <v>600</v>
      </c>
      <c r="O9">
        <v>600</v>
      </c>
      <c r="P9">
        <v>600</v>
      </c>
      <c r="Q9">
        <v>540</v>
      </c>
      <c r="R9">
        <v>540</v>
      </c>
      <c r="S9">
        <v>2880</v>
      </c>
      <c r="T9" s="55"/>
      <c r="V9">
        <v>3</v>
      </c>
      <c r="W9" t="s">
        <v>31</v>
      </c>
      <c r="X9" t="s">
        <v>32</v>
      </c>
      <c r="Y9">
        <v>200</v>
      </c>
      <c r="Z9">
        <v>200</v>
      </c>
      <c r="AA9">
        <v>200</v>
      </c>
      <c r="AB9">
        <v>180</v>
      </c>
      <c r="AC9">
        <v>180</v>
      </c>
      <c r="AD9">
        <v>960</v>
      </c>
    </row>
    <row r="10" spans="2:31" x14ac:dyDescent="0.25">
      <c r="B10" s="9" t="str">
        <f>HYPERLINK("\\mycloudpr2100\ПДО учет\ММЗ\Проект 12560\12560.142.03 Уголок (А4).pdf","12560.142.03")</f>
        <v>12560.142.03</v>
      </c>
      <c r="C10" s="25" t="s">
        <v>36</v>
      </c>
      <c r="D10" s="19">
        <v>10</v>
      </c>
      <c r="E10" s="25" t="s">
        <v>35</v>
      </c>
      <c r="I10" s="51">
        <v>10</v>
      </c>
      <c r="J10" s="26">
        <v>12</v>
      </c>
      <c r="K10" s="28" t="s">
        <v>172</v>
      </c>
      <c r="L10" s="27" t="s">
        <v>298</v>
      </c>
      <c r="M10" s="25" t="s">
        <v>46</v>
      </c>
      <c r="T10" s="55"/>
      <c r="V10">
        <v>4</v>
      </c>
      <c r="W10" t="s">
        <v>33</v>
      </c>
      <c r="X10" t="s">
        <v>34</v>
      </c>
      <c r="Y10">
        <v>200</v>
      </c>
      <c r="Z10">
        <v>200</v>
      </c>
      <c r="AA10">
        <v>200</v>
      </c>
      <c r="AB10">
        <v>180</v>
      </c>
      <c r="AC10">
        <v>180</v>
      </c>
      <c r="AD10">
        <v>960</v>
      </c>
    </row>
    <row r="11" spans="2:31" x14ac:dyDescent="0.25">
      <c r="B11" s="9" t="str">
        <f>HYPERLINK("\\mycloudpr2100\ПДО учет\ММЗ\Проект 12560\12560.142.03 Уголок (А4).pdf","12560.142.03-01")</f>
        <v>12560.142.03-01</v>
      </c>
      <c r="C11" s="25" t="s">
        <v>36</v>
      </c>
      <c r="D11" s="19">
        <v>11</v>
      </c>
      <c r="E11" s="25" t="s">
        <v>37</v>
      </c>
      <c r="I11" s="51">
        <v>11</v>
      </c>
      <c r="J11" s="26">
        <v>12</v>
      </c>
      <c r="K11" s="28" t="s">
        <v>172</v>
      </c>
      <c r="L11" s="27" t="s">
        <v>299</v>
      </c>
      <c r="M11" s="25" t="s">
        <v>48</v>
      </c>
      <c r="T11" s="55"/>
      <c r="V11">
        <v>5</v>
      </c>
      <c r="W11" t="s">
        <v>35</v>
      </c>
      <c r="X11" t="s">
        <v>36</v>
      </c>
      <c r="Y11">
        <v>200</v>
      </c>
      <c r="Z11">
        <v>200</v>
      </c>
      <c r="AA11">
        <v>200</v>
      </c>
      <c r="AB11">
        <v>180</v>
      </c>
      <c r="AC11">
        <v>180</v>
      </c>
      <c r="AD11">
        <v>960</v>
      </c>
    </row>
    <row r="12" spans="2:31" x14ac:dyDescent="0.25">
      <c r="B12" s="9" t="str">
        <f>HYPERLINK("\\mycloudpr2100\ПДО учет\ММЗ\Проект 12560\12560.142.04 Кронштейн (А3х3).pdf","12560.142.04")</f>
        <v>12560.142.04</v>
      </c>
      <c r="C12" s="25" t="s">
        <v>32</v>
      </c>
      <c r="D12" s="19">
        <v>12</v>
      </c>
      <c r="E12" s="25" t="s">
        <v>38</v>
      </c>
      <c r="I12" s="51">
        <v>12</v>
      </c>
      <c r="J12" s="26"/>
      <c r="K12" s="28" t="s">
        <v>2</v>
      </c>
      <c r="L12" s="27" t="s">
        <v>300</v>
      </c>
      <c r="M12" s="25"/>
      <c r="T12" s="55"/>
      <c r="V12">
        <v>6</v>
      </c>
      <c r="W12" t="s">
        <v>37</v>
      </c>
      <c r="X12" t="s">
        <v>36</v>
      </c>
      <c r="Y12">
        <v>200</v>
      </c>
      <c r="Z12">
        <v>200</v>
      </c>
      <c r="AA12">
        <v>200</v>
      </c>
      <c r="AB12">
        <v>180</v>
      </c>
      <c r="AC12">
        <v>180</v>
      </c>
      <c r="AD12">
        <v>960</v>
      </c>
    </row>
    <row r="13" spans="2:31" x14ac:dyDescent="0.25">
      <c r="B13" s="9" t="str">
        <f>HYPERLINK("\\mycloudpr2100\ПДО учет\ММЗ\Проект 12560\12560.205.02 Гайка (А4).pdf","12560.205.02")</f>
        <v>12560.205.02</v>
      </c>
      <c r="C13" s="25" t="s">
        <v>40</v>
      </c>
      <c r="D13" s="19">
        <v>13</v>
      </c>
      <c r="E13" s="25" t="s">
        <v>39</v>
      </c>
      <c r="I13" s="51">
        <v>13</v>
      </c>
      <c r="J13" s="26"/>
      <c r="K13" s="28" t="s">
        <v>2</v>
      </c>
      <c r="L13" s="27" t="s">
        <v>301</v>
      </c>
      <c r="M13" s="25"/>
      <c r="T13" s="55"/>
      <c r="V13">
        <v>7</v>
      </c>
      <c r="W13" t="s">
        <v>38</v>
      </c>
      <c r="X13" t="s">
        <v>32</v>
      </c>
      <c r="Y13">
        <v>200</v>
      </c>
      <c r="Z13">
        <v>200</v>
      </c>
      <c r="AA13">
        <v>200</v>
      </c>
      <c r="AB13">
        <v>180</v>
      </c>
      <c r="AC13">
        <v>180</v>
      </c>
      <c r="AD13">
        <v>960</v>
      </c>
    </row>
    <row r="14" spans="2:31" x14ac:dyDescent="0.25">
      <c r="B14" s="9" t="str">
        <f>HYPERLINK("\\mycloudpr2100\ПДО учет\ММЗ\Проект 12560\12560.209.01 Крюк (А2).pdf","12560.209.01")</f>
        <v>12560.209.01</v>
      </c>
      <c r="C14" s="25" t="s">
        <v>42</v>
      </c>
      <c r="D14" s="19">
        <v>14</v>
      </c>
      <c r="E14" s="25" t="s">
        <v>41</v>
      </c>
      <c r="I14" s="51">
        <v>14</v>
      </c>
      <c r="J14" s="26"/>
      <c r="K14" s="28" t="s">
        <v>2</v>
      </c>
      <c r="L14" s="27" t="s">
        <v>308</v>
      </c>
      <c r="M14" s="25"/>
      <c r="T14" s="55"/>
      <c r="V14">
        <v>8</v>
      </c>
      <c r="W14" t="s">
        <v>39</v>
      </c>
      <c r="X14" t="s">
        <v>40</v>
      </c>
      <c r="Y14">
        <v>200</v>
      </c>
      <c r="Z14">
        <v>200</v>
      </c>
      <c r="AA14">
        <v>200</v>
      </c>
      <c r="AB14">
        <v>180</v>
      </c>
      <c r="AC14">
        <v>180</v>
      </c>
      <c r="AD14">
        <v>960</v>
      </c>
    </row>
    <row r="15" spans="2:31" x14ac:dyDescent="0.25">
      <c r="B15" s="9" t="str">
        <f>HYPERLINK("\\mycloudpr2100\ПДО учет\ММЗ\Проект 12560\12560.209.01 Крюк (А2).pdf","12560.209.01-01")</f>
        <v>12560.209.01-01</v>
      </c>
      <c r="C15" s="25" t="s">
        <v>42</v>
      </c>
      <c r="D15" s="19">
        <v>15</v>
      </c>
      <c r="E15" s="25" t="s">
        <v>43</v>
      </c>
      <c r="I15" s="51">
        <v>15</v>
      </c>
      <c r="J15" s="26"/>
      <c r="K15" s="28" t="s">
        <v>2</v>
      </c>
      <c r="L15" s="27" t="s">
        <v>302</v>
      </c>
      <c r="M15" s="25"/>
      <c r="T15" s="55"/>
      <c r="V15">
        <v>9</v>
      </c>
      <c r="W15" t="s">
        <v>41</v>
      </c>
      <c r="X15" t="s">
        <v>42</v>
      </c>
      <c r="Y15">
        <v>400</v>
      </c>
      <c r="Z15">
        <v>400</v>
      </c>
      <c r="AA15">
        <v>400</v>
      </c>
      <c r="AB15">
        <v>360</v>
      </c>
      <c r="AC15">
        <v>360</v>
      </c>
      <c r="AD15">
        <v>1920</v>
      </c>
    </row>
    <row r="16" spans="2:31" x14ac:dyDescent="0.25">
      <c r="B16" s="9" t="str">
        <f>HYPERLINK("\\mycloudpr2100\ПДО учет\ММЗ\Проект 12560\12560.210.02 Уголок (А3).pdf","12560.210.02")</f>
        <v>12560.210.02</v>
      </c>
      <c r="C16" s="25" t="s">
        <v>36</v>
      </c>
      <c r="D16" s="19">
        <v>16</v>
      </c>
      <c r="E16" s="25" t="s">
        <v>44</v>
      </c>
      <c r="I16" s="51">
        <v>16</v>
      </c>
      <c r="J16" s="26"/>
      <c r="K16" s="28" t="s">
        <v>2</v>
      </c>
      <c r="L16" s="27" t="s">
        <v>309</v>
      </c>
      <c r="M16" s="25"/>
      <c r="T16" s="55"/>
      <c r="V16">
        <v>10</v>
      </c>
      <c r="W16" t="s">
        <v>43</v>
      </c>
      <c r="X16" t="s">
        <v>42</v>
      </c>
      <c r="Y16">
        <v>400</v>
      </c>
      <c r="Z16">
        <v>400</v>
      </c>
      <c r="AA16">
        <v>400</v>
      </c>
      <c r="AB16">
        <v>360</v>
      </c>
      <c r="AC16">
        <v>360</v>
      </c>
      <c r="AD16">
        <v>1920</v>
      </c>
    </row>
    <row r="17" spans="2:30" x14ac:dyDescent="0.25">
      <c r="B17" s="9" t="str">
        <f>HYPERLINK("\\mycloudpr2100\ПДО учет\ММЗ\Проект 12560\12560.213.00 СБ Крышка люка (А3х3).pdf","12560.213.00СБ")</f>
        <v>12560.213.00СБ</v>
      </c>
      <c r="C17" s="9" t="str">
        <f>HYPERLINK("\\mycloudpr2100\ПДО учет\ММЗ\Проект 12560\12560.213.00 Крышка люка (А4).pdf","Крышка люка")</f>
        <v>Крышка люка</v>
      </c>
      <c r="D17" s="19">
        <v>17</v>
      </c>
      <c r="E17" s="30" t="s">
        <v>45</v>
      </c>
      <c r="F17" s="30" t="s">
        <v>46</v>
      </c>
      <c r="I17" s="51">
        <v>17</v>
      </c>
      <c r="J17" s="26"/>
      <c r="K17" s="28" t="s">
        <v>2</v>
      </c>
      <c r="L17" s="27" t="s">
        <v>303</v>
      </c>
      <c r="M17" s="25"/>
      <c r="T17" s="54"/>
      <c r="V17">
        <v>11</v>
      </c>
      <c r="W17" t="s">
        <v>44</v>
      </c>
      <c r="X17" t="s">
        <v>36</v>
      </c>
      <c r="Y17">
        <v>400</v>
      </c>
      <c r="Z17">
        <v>400</v>
      </c>
      <c r="AA17">
        <v>400</v>
      </c>
      <c r="AB17">
        <v>360</v>
      </c>
      <c r="AC17">
        <v>360</v>
      </c>
      <c r="AD17">
        <v>1920</v>
      </c>
    </row>
    <row r="18" spans="2:30" x14ac:dyDescent="0.25">
      <c r="B18" s="27" t="s">
        <v>47</v>
      </c>
      <c r="C18" s="25" t="s">
        <v>46</v>
      </c>
      <c r="D18" s="19">
        <v>18</v>
      </c>
      <c r="I18" s="51">
        <v>18</v>
      </c>
      <c r="J18" s="26"/>
      <c r="K18" s="28" t="s">
        <v>2</v>
      </c>
      <c r="L18" s="27" t="s">
        <v>304</v>
      </c>
      <c r="M18" s="25"/>
      <c r="T18" s="55"/>
      <c r="V18">
        <v>12</v>
      </c>
      <c r="W18" t="s">
        <v>45</v>
      </c>
      <c r="X18" t="s">
        <v>46</v>
      </c>
      <c r="Y18">
        <v>600</v>
      </c>
      <c r="Z18">
        <v>600</v>
      </c>
      <c r="AA18">
        <v>600</v>
      </c>
      <c r="AB18">
        <v>540</v>
      </c>
      <c r="AC18">
        <v>540</v>
      </c>
      <c r="AD18">
        <v>2880</v>
      </c>
    </row>
    <row r="19" spans="2:30" x14ac:dyDescent="0.25">
      <c r="B19" s="27" t="s">
        <v>47</v>
      </c>
      <c r="C19" s="25" t="s">
        <v>48</v>
      </c>
      <c r="D19" s="19">
        <v>19</v>
      </c>
      <c r="I19" s="51">
        <v>19</v>
      </c>
      <c r="J19" s="26"/>
      <c r="K19" s="28" t="s">
        <v>295</v>
      </c>
      <c r="L19" s="27" t="s">
        <v>305</v>
      </c>
      <c r="M19" s="25"/>
      <c r="T19" s="55"/>
      <c r="W19" t="s">
        <v>47</v>
      </c>
      <c r="X19" t="s">
        <v>46</v>
      </c>
    </row>
    <row r="20" spans="2:30" x14ac:dyDescent="0.25">
      <c r="B20" s="9" t="str">
        <f>HYPERLINK("\\mycloudpr2100\ПДО учет\ММЗ\Проект 12560\12560.222.02 Накладка (А3).pdf","12560.222.02")</f>
        <v>12560.222.02</v>
      </c>
      <c r="C20" s="25" t="s">
        <v>50</v>
      </c>
      <c r="D20" s="19">
        <v>20</v>
      </c>
      <c r="E20" s="25" t="s">
        <v>49</v>
      </c>
      <c r="I20" s="51">
        <v>20</v>
      </c>
      <c r="J20" s="26"/>
      <c r="K20" s="28" t="s">
        <v>295</v>
      </c>
      <c r="L20" s="27" t="s">
        <v>306</v>
      </c>
      <c r="M20" s="25"/>
      <c r="T20" s="55"/>
      <c r="W20" t="s">
        <v>47</v>
      </c>
      <c r="X20" t="s">
        <v>48</v>
      </c>
    </row>
    <row r="21" spans="2:30" x14ac:dyDescent="0.25">
      <c r="B21" s="9" t="str">
        <f>HYPERLINK("\\mycloudpr2100\ПДО учет\ММЗ\Проект 12560\12560.222.03 Накладка (А3).pdf","12560.222.03")</f>
        <v>12560.222.03</v>
      </c>
      <c r="C21" s="25" t="s">
        <v>50</v>
      </c>
      <c r="D21" s="19">
        <v>21</v>
      </c>
      <c r="E21" s="25" t="s">
        <v>51</v>
      </c>
      <c r="I21" s="51">
        <v>21</v>
      </c>
      <c r="J21" s="26"/>
      <c r="K21" s="28" t="s">
        <v>295</v>
      </c>
      <c r="L21" s="27" t="s">
        <v>307</v>
      </c>
      <c r="M21" s="25"/>
      <c r="T21" s="55"/>
      <c r="V21">
        <v>13</v>
      </c>
      <c r="W21" t="s">
        <v>49</v>
      </c>
      <c r="X21" t="s">
        <v>50</v>
      </c>
      <c r="Y21">
        <v>200</v>
      </c>
      <c r="Z21">
        <v>200</v>
      </c>
      <c r="AA21">
        <v>200</v>
      </c>
      <c r="AB21">
        <v>180</v>
      </c>
      <c r="AC21">
        <v>180</v>
      </c>
      <c r="AD21">
        <v>960</v>
      </c>
    </row>
    <row r="22" spans="2:30" x14ac:dyDescent="0.25">
      <c r="B22" s="9" t="str">
        <f>HYPERLINK("\\mycloudpr2100\ПДО учет\ММЗ\Проект 12560\12560.240.06 Кронштейн (А2).pdf","12560.240.06")</f>
        <v>12560.240.06</v>
      </c>
      <c r="C22" s="25" t="s">
        <v>32</v>
      </c>
      <c r="D22" s="19">
        <v>22</v>
      </c>
      <c r="E22" s="25" t="s">
        <v>52</v>
      </c>
      <c r="I22" s="43">
        <v>22</v>
      </c>
      <c r="J22" s="44">
        <v>20</v>
      </c>
      <c r="K22" s="45" t="s">
        <v>170</v>
      </c>
      <c r="L22" s="47" t="s">
        <v>59</v>
      </c>
      <c r="M22" s="47" t="s">
        <v>60</v>
      </c>
      <c r="N22">
        <v>200</v>
      </c>
      <c r="O22">
        <v>200</v>
      </c>
      <c r="P22">
        <v>200</v>
      </c>
      <c r="Q22">
        <v>180</v>
      </c>
      <c r="R22">
        <v>180</v>
      </c>
      <c r="S22">
        <v>960</v>
      </c>
      <c r="T22" s="55"/>
      <c r="V22">
        <v>14</v>
      </c>
      <c r="W22" t="s">
        <v>51</v>
      </c>
      <c r="X22" t="s">
        <v>50</v>
      </c>
      <c r="Y22">
        <v>200</v>
      </c>
      <c r="Z22">
        <v>200</v>
      </c>
      <c r="AA22">
        <v>200</v>
      </c>
      <c r="AB22">
        <v>180</v>
      </c>
      <c r="AC22">
        <v>180</v>
      </c>
      <c r="AD22">
        <v>960</v>
      </c>
    </row>
    <row r="23" spans="2:30" x14ac:dyDescent="0.25">
      <c r="B23" s="9" t="str">
        <f>HYPERLINK("\\mycloudpr2100\ПДО учет\ММЗ\Проект 12560\12560.240.06 Кронштейн (А2).pdf","12560.240.06-01")</f>
        <v>12560.240.06-01</v>
      </c>
      <c r="C23" s="25" t="s">
        <v>32</v>
      </c>
      <c r="D23" s="19">
        <v>23</v>
      </c>
      <c r="E23" s="25" t="s">
        <v>53</v>
      </c>
      <c r="I23" s="51">
        <v>23</v>
      </c>
      <c r="J23" s="26">
        <v>20</v>
      </c>
      <c r="K23" s="28" t="s">
        <v>172</v>
      </c>
      <c r="L23" s="41" t="s">
        <v>61</v>
      </c>
      <c r="M23" s="25" t="s">
        <v>36</v>
      </c>
      <c r="T23" s="55"/>
      <c r="V23">
        <v>15</v>
      </c>
      <c r="W23" t="s">
        <v>52</v>
      </c>
      <c r="X23" t="s">
        <v>32</v>
      </c>
      <c r="Y23">
        <v>200</v>
      </c>
      <c r="Z23">
        <v>200</v>
      </c>
      <c r="AA23">
        <v>200</v>
      </c>
      <c r="AB23">
        <v>180</v>
      </c>
      <c r="AC23">
        <v>180</v>
      </c>
      <c r="AD23">
        <v>960</v>
      </c>
    </row>
    <row r="24" spans="2:30" x14ac:dyDescent="0.25">
      <c r="B24" s="9" t="str">
        <f>HYPERLINK("\\mycloudpr2100\ПДО учет\ММЗ\Проект 12560\12560.243.01 Кронштейн (А4х3).pdf","12560.243.01")</f>
        <v>12560.243.01</v>
      </c>
      <c r="C24" s="25" t="s">
        <v>32</v>
      </c>
      <c r="D24" s="19">
        <v>24</v>
      </c>
      <c r="E24" s="25" t="s">
        <v>54</v>
      </c>
      <c r="I24" s="51">
        <v>24</v>
      </c>
      <c r="J24" s="26">
        <v>20</v>
      </c>
      <c r="K24" s="28" t="s">
        <v>172</v>
      </c>
      <c r="L24" s="41" t="s">
        <v>62</v>
      </c>
      <c r="M24" s="25" t="s">
        <v>36</v>
      </c>
      <c r="T24" s="55"/>
      <c r="V24">
        <v>16</v>
      </c>
      <c r="W24" t="s">
        <v>53</v>
      </c>
      <c r="X24" t="s">
        <v>32</v>
      </c>
      <c r="Y24">
        <v>200</v>
      </c>
      <c r="Z24">
        <v>200</v>
      </c>
      <c r="AA24">
        <v>200</v>
      </c>
      <c r="AB24">
        <v>180</v>
      </c>
      <c r="AC24">
        <v>180</v>
      </c>
      <c r="AD24">
        <v>960</v>
      </c>
    </row>
    <row r="25" spans="2:30" x14ac:dyDescent="0.25">
      <c r="B25" s="9" t="str">
        <f>HYPERLINK("\\mycloudpr2100\ПДО учет\ММЗ\Проект 12560\12560.245.01 Кронштейн привода (А4х3).pdf","12560.245.01")</f>
        <v>12560.245.01</v>
      </c>
      <c r="C25" s="25" t="s">
        <v>56</v>
      </c>
      <c r="D25" s="19">
        <v>25</v>
      </c>
      <c r="E25" s="25" t="s">
        <v>55</v>
      </c>
      <c r="I25" s="51">
        <v>25</v>
      </c>
      <c r="J25" s="26">
        <v>20</v>
      </c>
      <c r="K25" s="28" t="s">
        <v>172</v>
      </c>
      <c r="L25" s="41" t="s">
        <v>63</v>
      </c>
      <c r="M25" s="25" t="s">
        <v>64</v>
      </c>
      <c r="T25" s="55"/>
      <c r="V25">
        <v>17</v>
      </c>
      <c r="W25" t="s">
        <v>54</v>
      </c>
      <c r="X25" t="s">
        <v>32</v>
      </c>
      <c r="Y25">
        <v>400</v>
      </c>
      <c r="Z25">
        <v>400</v>
      </c>
      <c r="AA25">
        <v>400</v>
      </c>
      <c r="AB25">
        <v>360</v>
      </c>
      <c r="AC25">
        <v>360</v>
      </c>
      <c r="AD25">
        <v>1920</v>
      </c>
    </row>
    <row r="26" spans="2:30" x14ac:dyDescent="0.25">
      <c r="B26" s="9" t="str">
        <f>HYPERLINK("\\mycloudpr2100\ПДО учет\ММЗ\Проект 12560\12560.245.02 Кронштейн киля (А4х3).pdf","12560.245.02")</f>
        <v>12560.245.02</v>
      </c>
      <c r="C26" s="25" t="s">
        <v>58</v>
      </c>
      <c r="D26" s="19">
        <v>26</v>
      </c>
      <c r="E26" s="25" t="s">
        <v>57</v>
      </c>
      <c r="I26" s="51">
        <v>26</v>
      </c>
      <c r="J26" s="26">
        <v>20</v>
      </c>
      <c r="K26" s="28" t="s">
        <v>172</v>
      </c>
      <c r="L26" s="41" t="s">
        <v>65</v>
      </c>
      <c r="M26" s="25" t="s">
        <v>32</v>
      </c>
      <c r="T26" s="55"/>
      <c r="V26">
        <v>18</v>
      </c>
      <c r="W26" t="s">
        <v>55</v>
      </c>
      <c r="X26" t="s">
        <v>56</v>
      </c>
      <c r="Y26">
        <v>200</v>
      </c>
      <c r="Z26">
        <v>200</v>
      </c>
      <c r="AA26">
        <v>200</v>
      </c>
      <c r="AB26">
        <v>180</v>
      </c>
      <c r="AC26">
        <v>180</v>
      </c>
      <c r="AD26">
        <v>960</v>
      </c>
    </row>
    <row r="27" spans="2:30" x14ac:dyDescent="0.25">
      <c r="B27" s="9" t="str">
        <f>HYPERLINK("\\mycloudpr2100\ПДО учет\ММЗ\Проект 12560\12560.247.00 СБ Площадка (А4х4).pdf","12560.247.00СБ")</f>
        <v>12560.247.00СБ</v>
      </c>
      <c r="C27" s="9" t="str">
        <f>HYPERLINK("\\mycloudpr2100\ПДО учет\ММЗ\Проект 12560\12560.247.00 Площадка (А4).pdf","Площадка")</f>
        <v>Площадка</v>
      </c>
      <c r="D27" s="19">
        <v>27</v>
      </c>
      <c r="E27" s="30" t="s">
        <v>59</v>
      </c>
      <c r="F27" s="30" t="s">
        <v>60</v>
      </c>
      <c r="I27" s="51">
        <v>27</v>
      </c>
      <c r="J27" s="26"/>
      <c r="K27" s="28" t="s">
        <v>2</v>
      </c>
      <c r="L27" s="25" t="s">
        <v>315</v>
      </c>
      <c r="M27" s="25"/>
      <c r="T27" s="54"/>
      <c r="V27">
        <v>19</v>
      </c>
      <c r="W27" t="s">
        <v>57</v>
      </c>
      <c r="X27" t="s">
        <v>58</v>
      </c>
      <c r="Y27">
        <v>200</v>
      </c>
      <c r="Z27">
        <v>200</v>
      </c>
      <c r="AA27">
        <v>200</v>
      </c>
      <c r="AB27">
        <v>180</v>
      </c>
      <c r="AC27">
        <v>180</v>
      </c>
      <c r="AD27">
        <v>960</v>
      </c>
    </row>
    <row r="28" spans="2:30" x14ac:dyDescent="0.25">
      <c r="B28" s="9" t="str">
        <f>HYPERLINK("\\mycloudpr2100\ПДО учет\ММЗ\Проект 12560\12560.247.03 Уголок (А4).pdf","12560.247.03")</f>
        <v>12560.247.03</v>
      </c>
      <c r="C28" s="25" t="s">
        <v>36</v>
      </c>
      <c r="D28" s="19">
        <v>28</v>
      </c>
      <c r="E28" s="25" t="s">
        <v>61</v>
      </c>
      <c r="I28" s="51">
        <v>28</v>
      </c>
      <c r="J28" s="26"/>
      <c r="K28" s="28" t="s">
        <v>2</v>
      </c>
      <c r="L28" s="25" t="s">
        <v>310</v>
      </c>
      <c r="M28" s="25"/>
      <c r="T28" s="55"/>
      <c r="V28">
        <v>20</v>
      </c>
      <c r="W28" t="s">
        <v>59</v>
      </c>
      <c r="X28" t="s">
        <v>60</v>
      </c>
      <c r="Y28">
        <v>200</v>
      </c>
      <c r="Z28">
        <v>200</v>
      </c>
      <c r="AA28">
        <v>200</v>
      </c>
      <c r="AB28">
        <v>180</v>
      </c>
      <c r="AC28">
        <v>180</v>
      </c>
      <c r="AD28">
        <v>960</v>
      </c>
    </row>
    <row r="29" spans="2:30" x14ac:dyDescent="0.25">
      <c r="B29" s="9" t="str">
        <f>HYPERLINK("\\mycloudpr2100\ПДО учет\ММЗ\Проект 12560\12560.247.05 Уголок (А4).pdf","12560.247.05")</f>
        <v>12560.247.05</v>
      </c>
      <c r="C29" s="25" t="s">
        <v>36</v>
      </c>
      <c r="D29" s="19">
        <v>29</v>
      </c>
      <c r="E29" s="25" t="s">
        <v>62</v>
      </c>
      <c r="I29" s="51">
        <v>29</v>
      </c>
      <c r="J29" s="26"/>
      <c r="K29" s="28" t="s">
        <v>2</v>
      </c>
      <c r="L29" s="25" t="s">
        <v>311</v>
      </c>
      <c r="M29" s="25"/>
      <c r="T29" s="55"/>
      <c r="W29" t="s">
        <v>61</v>
      </c>
      <c r="X29" t="s">
        <v>36</v>
      </c>
    </row>
    <row r="30" spans="2:30" x14ac:dyDescent="0.25">
      <c r="B30" s="9" t="str">
        <f>HYPERLINK("\\mycloudpr2100\ПДО учет\ММЗ\Проект 12560\12560.247.06 Профиль (А4).pdf","12560.247.06")</f>
        <v>12560.247.06</v>
      </c>
      <c r="C30" s="25" t="s">
        <v>64</v>
      </c>
      <c r="D30" s="19">
        <v>30</v>
      </c>
      <c r="E30" s="25" t="s">
        <v>63</v>
      </c>
      <c r="I30" s="51">
        <v>30</v>
      </c>
      <c r="J30" s="26"/>
      <c r="K30" s="28" t="s">
        <v>2</v>
      </c>
      <c r="L30" s="25" t="s">
        <v>312</v>
      </c>
      <c r="M30" s="25"/>
      <c r="T30" s="55"/>
      <c r="W30" t="s">
        <v>62</v>
      </c>
      <c r="X30" t="s">
        <v>36</v>
      </c>
    </row>
    <row r="31" spans="2:30" x14ac:dyDescent="0.25">
      <c r="B31" s="9" t="str">
        <f>HYPERLINK("\\mycloudpr2100\ПДО учет\ММЗ\Проект 12560\12560.247.08 Кронштейн (А4).pdf","12560.247.08")</f>
        <v>12560.247.08</v>
      </c>
      <c r="C31" s="25" t="s">
        <v>32</v>
      </c>
      <c r="D31" s="19">
        <v>31</v>
      </c>
      <c r="E31" s="25" t="s">
        <v>65</v>
      </c>
      <c r="I31" s="51">
        <v>31</v>
      </c>
      <c r="J31" s="26"/>
      <c r="K31" s="28" t="s">
        <v>2</v>
      </c>
      <c r="L31" s="25" t="s">
        <v>313</v>
      </c>
      <c r="M31" s="25"/>
      <c r="T31" s="55"/>
      <c r="W31" t="s">
        <v>63</v>
      </c>
      <c r="X31" t="s">
        <v>64</v>
      </c>
    </row>
    <row r="32" spans="2:30" x14ac:dyDescent="0.25">
      <c r="B32" s="9" t="str">
        <f>HYPERLINK("\\mycloudpr2100\ПДО учет\ММЗ\Проект 12560\12560.248.12 Тройник (А4).pdf","12560.248.12")</f>
        <v>12560.248.12</v>
      </c>
      <c r="C32" s="25" t="s">
        <v>67</v>
      </c>
      <c r="D32" s="19">
        <v>32</v>
      </c>
      <c r="E32" s="25" t="s">
        <v>66</v>
      </c>
      <c r="I32" s="51">
        <v>32</v>
      </c>
      <c r="J32" s="26"/>
      <c r="K32" s="28" t="s">
        <v>295</v>
      </c>
      <c r="L32" s="25" t="s">
        <v>314</v>
      </c>
      <c r="M32" s="25"/>
      <c r="T32" s="55"/>
      <c r="W32" t="s">
        <v>65</v>
      </c>
      <c r="X32" t="s">
        <v>32</v>
      </c>
    </row>
    <row r="33" spans="2:30" x14ac:dyDescent="0.25">
      <c r="B33" s="9" t="str">
        <f>HYPERLINK("\\mycloudpr2100\ПДО учет\ММЗ\Проект 12560\12560.248.13 Переходник (А3).pdf","12560.248.13")</f>
        <v>12560.248.13</v>
      </c>
      <c r="C33" s="25" t="s">
        <v>69</v>
      </c>
      <c r="D33" s="19">
        <v>33</v>
      </c>
      <c r="E33" s="25" t="s">
        <v>68</v>
      </c>
      <c r="I33" s="43">
        <v>33</v>
      </c>
      <c r="J33" s="44">
        <v>53</v>
      </c>
      <c r="K33" s="45" t="s">
        <v>170</v>
      </c>
      <c r="L33" s="47" t="s">
        <v>115</v>
      </c>
      <c r="M33" s="47" t="s">
        <v>32</v>
      </c>
      <c r="N33">
        <v>200</v>
      </c>
      <c r="O33">
        <v>200</v>
      </c>
      <c r="P33">
        <v>200</v>
      </c>
      <c r="Q33">
        <v>180</v>
      </c>
      <c r="R33">
        <v>180</v>
      </c>
      <c r="S33">
        <v>960</v>
      </c>
      <c r="T33" s="55"/>
      <c r="V33">
        <v>21</v>
      </c>
      <c r="W33" t="s">
        <v>66</v>
      </c>
      <c r="X33" t="s">
        <v>67</v>
      </c>
      <c r="Y33">
        <v>600</v>
      </c>
      <c r="Z33">
        <v>600</v>
      </c>
      <c r="AA33">
        <v>600</v>
      </c>
      <c r="AB33">
        <v>540</v>
      </c>
      <c r="AC33">
        <v>540</v>
      </c>
      <c r="AD33">
        <v>2880</v>
      </c>
    </row>
    <row r="34" spans="2:30" x14ac:dyDescent="0.25">
      <c r="B34" s="9" t="str">
        <f>HYPERLINK("\\mycloudpr2100\ПДО учет\ММЗ\Проект 12560\12560.248.15 Кронштейн (А4).pdf","12560.248.15")</f>
        <v>12560.248.15</v>
      </c>
      <c r="C34" s="25" t="s">
        <v>32</v>
      </c>
      <c r="D34" s="19">
        <v>34</v>
      </c>
      <c r="E34" s="25" t="s">
        <v>70</v>
      </c>
      <c r="I34" s="51">
        <v>34</v>
      </c>
      <c r="J34" s="26">
        <v>53</v>
      </c>
      <c r="K34" s="28" t="s">
        <v>172</v>
      </c>
      <c r="L34" s="41" t="s">
        <v>116</v>
      </c>
      <c r="M34" s="25" t="s">
        <v>32</v>
      </c>
      <c r="T34" s="55"/>
      <c r="V34">
        <v>22</v>
      </c>
      <c r="W34" t="s">
        <v>68</v>
      </c>
      <c r="X34" t="s">
        <v>69</v>
      </c>
      <c r="Y34">
        <v>200</v>
      </c>
      <c r="Z34">
        <v>200</v>
      </c>
      <c r="AA34">
        <v>200</v>
      </c>
      <c r="AB34">
        <v>180</v>
      </c>
      <c r="AC34">
        <v>180</v>
      </c>
      <c r="AD34">
        <v>960</v>
      </c>
    </row>
    <row r="35" spans="2:30" x14ac:dyDescent="0.25">
      <c r="B35" s="9" t="str">
        <f>HYPERLINK("\\mycloudpr2100\ПДО учет\ММЗ\Проект 12560\12560.248.16 Патрубок (А4).pdf","12560.248.16")</f>
        <v>12560.248.16</v>
      </c>
      <c r="C35" s="25" t="s">
        <v>72</v>
      </c>
      <c r="D35" s="19">
        <v>35</v>
      </c>
      <c r="E35" s="25" t="s">
        <v>71</v>
      </c>
      <c r="I35" s="51">
        <v>35</v>
      </c>
      <c r="J35" s="26">
        <v>53</v>
      </c>
      <c r="K35" s="28" t="s">
        <v>172</v>
      </c>
      <c r="L35" s="41" t="s">
        <v>117</v>
      </c>
      <c r="M35" s="25" t="s">
        <v>118</v>
      </c>
      <c r="T35" s="55"/>
      <c r="V35">
        <v>23</v>
      </c>
      <c r="W35" t="s">
        <v>70</v>
      </c>
      <c r="X35" t="s">
        <v>32</v>
      </c>
      <c r="Y35">
        <v>200</v>
      </c>
      <c r="Z35">
        <v>200</v>
      </c>
      <c r="AA35">
        <v>200</v>
      </c>
      <c r="AB35">
        <v>180</v>
      </c>
      <c r="AC35">
        <v>180</v>
      </c>
      <c r="AD35">
        <v>960</v>
      </c>
    </row>
    <row r="36" spans="2:30" x14ac:dyDescent="0.25">
      <c r="B36" s="9" t="str">
        <f>HYPERLINK("\\mycloudpr2100\ПДО учет\ММЗ\Проект 12560\12560.249.01 Кронштейн (А3).pdf","12560.249.01")</f>
        <v>12560.249.01</v>
      </c>
      <c r="C36" s="25" t="s">
        <v>32</v>
      </c>
      <c r="D36" s="19">
        <v>36</v>
      </c>
      <c r="E36" s="25" t="s">
        <v>73</v>
      </c>
      <c r="I36" s="51">
        <v>36</v>
      </c>
      <c r="J36" s="26">
        <v>53</v>
      </c>
      <c r="K36" s="28" t="s">
        <v>172</v>
      </c>
      <c r="L36" s="41" t="s">
        <v>119</v>
      </c>
      <c r="M36" s="25" t="s">
        <v>89</v>
      </c>
      <c r="T36" s="55"/>
      <c r="V36">
        <v>24</v>
      </c>
      <c r="W36" t="s">
        <v>71</v>
      </c>
      <c r="X36" t="s">
        <v>72</v>
      </c>
      <c r="Y36">
        <v>200</v>
      </c>
      <c r="Z36">
        <v>200</v>
      </c>
      <c r="AA36">
        <v>200</v>
      </c>
      <c r="AB36">
        <v>180</v>
      </c>
      <c r="AC36">
        <v>180</v>
      </c>
      <c r="AD36">
        <v>960</v>
      </c>
    </row>
    <row r="37" spans="2:30" x14ac:dyDescent="0.25">
      <c r="B37" s="9" t="str">
        <f>HYPERLINK("\\mycloudpr2100\ПДО учет\ММЗ\Проект 12560\12560.250.03 Накладка (А3).pdf","12560.250.03")</f>
        <v>12560.250.03</v>
      </c>
      <c r="C37" s="25" t="s">
        <v>50</v>
      </c>
      <c r="D37" s="19">
        <v>37</v>
      </c>
      <c r="E37" s="25" t="s">
        <v>74</v>
      </c>
      <c r="I37" s="51">
        <v>37</v>
      </c>
      <c r="J37" s="26">
        <v>53</v>
      </c>
      <c r="K37" s="28" t="s">
        <v>172</v>
      </c>
      <c r="L37" s="41" t="s">
        <v>120</v>
      </c>
      <c r="M37" s="25" t="s">
        <v>121</v>
      </c>
      <c r="T37" s="55"/>
      <c r="V37">
        <v>25</v>
      </c>
      <c r="W37" t="s">
        <v>73</v>
      </c>
      <c r="X37" t="s">
        <v>32</v>
      </c>
      <c r="Y37">
        <v>200</v>
      </c>
      <c r="Z37">
        <v>200</v>
      </c>
      <c r="AA37">
        <v>200</v>
      </c>
      <c r="AB37">
        <v>180</v>
      </c>
      <c r="AC37">
        <v>180</v>
      </c>
      <c r="AD37">
        <v>960</v>
      </c>
    </row>
    <row r="38" spans="2:30" x14ac:dyDescent="0.25">
      <c r="B38" s="9" t="str">
        <f>HYPERLINK("\\mycloudpr2100\ПДО учет\ММЗ\Проект 12560\12560.250.03 Накладка (А3).pdf","12560.250.03-01")</f>
        <v>12560.250.03-01</v>
      </c>
      <c r="C38" s="25" t="s">
        <v>50</v>
      </c>
      <c r="D38" s="19">
        <v>38</v>
      </c>
      <c r="E38" s="25" t="s">
        <v>75</v>
      </c>
      <c r="I38" s="51">
        <v>38</v>
      </c>
      <c r="J38" s="26">
        <v>53</v>
      </c>
      <c r="K38" s="28" t="s">
        <v>172</v>
      </c>
      <c r="L38" s="25" t="s">
        <v>316</v>
      </c>
      <c r="M38" s="25" t="s">
        <v>122</v>
      </c>
      <c r="T38" s="55"/>
      <c r="V38">
        <v>26</v>
      </c>
      <c r="W38" t="s">
        <v>74</v>
      </c>
      <c r="X38" t="s">
        <v>50</v>
      </c>
      <c r="Y38">
        <v>400</v>
      </c>
      <c r="Z38">
        <v>400</v>
      </c>
      <c r="AA38">
        <v>400</v>
      </c>
      <c r="AB38">
        <v>360</v>
      </c>
      <c r="AC38">
        <v>360</v>
      </c>
      <c r="AD38">
        <v>1920</v>
      </c>
    </row>
    <row r="39" spans="2:30" x14ac:dyDescent="0.25">
      <c r="B39" s="9" t="str">
        <f>HYPERLINK("\\mycloudpr2100\ПДО учет\ММЗ\Проект 12560\12560.252.01 Пластина (А3).pdf","12560.252.01")</f>
        <v>12560.252.01</v>
      </c>
      <c r="C39" s="25" t="s">
        <v>77</v>
      </c>
      <c r="D39" s="19">
        <v>39</v>
      </c>
      <c r="E39" s="25" t="s">
        <v>76</v>
      </c>
      <c r="I39" s="51">
        <v>39</v>
      </c>
      <c r="J39" s="26"/>
      <c r="K39" s="28" t="s">
        <v>2</v>
      </c>
      <c r="L39" s="25" t="s">
        <v>317</v>
      </c>
      <c r="M39" s="25"/>
      <c r="T39" s="55"/>
      <c r="V39">
        <v>27</v>
      </c>
      <c r="W39" t="s">
        <v>75</v>
      </c>
      <c r="X39" t="s">
        <v>50</v>
      </c>
      <c r="Y39">
        <v>200</v>
      </c>
      <c r="Z39">
        <v>200</v>
      </c>
      <c r="AA39">
        <v>200</v>
      </c>
      <c r="AB39">
        <v>180</v>
      </c>
      <c r="AC39">
        <v>180</v>
      </c>
      <c r="AD39">
        <v>960</v>
      </c>
    </row>
    <row r="40" spans="2:30" x14ac:dyDescent="0.25">
      <c r="B40" s="9" t="str">
        <f>HYPERLINK("\\mycloudpr2100\ПДО учет\ММЗ\Проект 12560\12560.252.03 Плунжер (А4).pdf","12560.252.03")</f>
        <v>12560.252.03</v>
      </c>
      <c r="C40" s="25" t="s">
        <v>79</v>
      </c>
      <c r="D40" s="19">
        <v>40</v>
      </c>
      <c r="E40" s="25" t="s">
        <v>78</v>
      </c>
      <c r="I40" s="51">
        <v>40</v>
      </c>
      <c r="J40" s="26"/>
      <c r="K40" s="28" t="s">
        <v>2</v>
      </c>
      <c r="L40" s="25" t="s">
        <v>318</v>
      </c>
      <c r="M40" s="25"/>
      <c r="T40" s="55"/>
      <c r="V40">
        <v>28</v>
      </c>
      <c r="W40" t="s">
        <v>76</v>
      </c>
      <c r="X40" t="s">
        <v>77</v>
      </c>
      <c r="Y40">
        <v>200</v>
      </c>
      <c r="Z40">
        <v>200</v>
      </c>
      <c r="AA40">
        <v>200</v>
      </c>
      <c r="AB40">
        <v>180</v>
      </c>
      <c r="AC40">
        <v>180</v>
      </c>
      <c r="AD40">
        <v>960</v>
      </c>
    </row>
    <row r="41" spans="2:30" x14ac:dyDescent="0.25">
      <c r="B41" s="9" t="str">
        <f>HYPERLINK("\\mycloudpr2100\ПДО учет\ММЗ\Проект 12560\12560.252.04 Штифт (А4).pdf","12560.252.04")</f>
        <v>12560.252.04</v>
      </c>
      <c r="C41" s="25" t="s">
        <v>81</v>
      </c>
      <c r="D41" s="19">
        <v>41</v>
      </c>
      <c r="E41" s="25" t="s">
        <v>80</v>
      </c>
      <c r="I41" s="51">
        <v>41</v>
      </c>
      <c r="J41" s="26"/>
      <c r="K41" s="28" t="s">
        <v>295</v>
      </c>
      <c r="L41" s="25" t="s">
        <v>319</v>
      </c>
      <c r="M41" s="25"/>
      <c r="T41" s="55"/>
      <c r="V41">
        <v>29</v>
      </c>
      <c r="W41" t="s">
        <v>78</v>
      </c>
      <c r="X41" t="s">
        <v>79</v>
      </c>
      <c r="Y41">
        <v>1000</v>
      </c>
      <c r="Z41">
        <v>1000</v>
      </c>
      <c r="AA41">
        <v>1000</v>
      </c>
      <c r="AB41">
        <v>900</v>
      </c>
      <c r="AC41">
        <v>900</v>
      </c>
      <c r="AD41">
        <v>4800</v>
      </c>
    </row>
    <row r="42" spans="2:30" x14ac:dyDescent="0.25">
      <c r="B42" s="9" t="str">
        <f>HYPERLINK("\\mycloudpr2100\ПДО учет\ММЗ\Проект 12560\12560.253.01 Втулка (А4).pdf","12560.253.01")</f>
        <v>12560.253.01</v>
      </c>
      <c r="C42" s="25" t="s">
        <v>83</v>
      </c>
      <c r="D42" s="19">
        <v>42</v>
      </c>
      <c r="E42" s="25" t="s">
        <v>82</v>
      </c>
      <c r="I42" s="51">
        <v>42</v>
      </c>
      <c r="J42" s="26"/>
      <c r="K42" s="28" t="s">
        <v>295</v>
      </c>
      <c r="L42" s="25" t="s">
        <v>320</v>
      </c>
      <c r="M42" s="25"/>
      <c r="T42" s="55"/>
      <c r="V42">
        <v>30</v>
      </c>
      <c r="W42" t="s">
        <v>80</v>
      </c>
      <c r="X42" t="s">
        <v>81</v>
      </c>
      <c r="Y42">
        <v>1000</v>
      </c>
      <c r="Z42">
        <v>1000</v>
      </c>
      <c r="AA42">
        <v>1000</v>
      </c>
      <c r="AB42">
        <v>900</v>
      </c>
      <c r="AC42">
        <v>900</v>
      </c>
      <c r="AD42">
        <v>4800</v>
      </c>
    </row>
    <row r="43" spans="2:30" x14ac:dyDescent="0.25">
      <c r="B43" s="9" t="str">
        <f>HYPERLINK("\\mycloudpr2100\ПДО учет\ММЗ\Проект 12560\12560.253.02 Пластина (А3).pdf","12560.253.02")</f>
        <v>12560.253.02</v>
      </c>
      <c r="C43" s="25" t="s">
        <v>77</v>
      </c>
      <c r="D43" s="19">
        <v>43</v>
      </c>
      <c r="E43" s="25" t="s">
        <v>84</v>
      </c>
      <c r="I43" s="43">
        <v>43</v>
      </c>
      <c r="J43" s="44">
        <v>54</v>
      </c>
      <c r="K43" s="45" t="s">
        <v>170</v>
      </c>
      <c r="L43" s="47" t="s">
        <v>123</v>
      </c>
      <c r="M43" s="47" t="s">
        <v>124</v>
      </c>
      <c r="N43">
        <v>400</v>
      </c>
      <c r="O43">
        <v>400</v>
      </c>
      <c r="P43">
        <v>400</v>
      </c>
      <c r="Q43">
        <v>360</v>
      </c>
      <c r="R43">
        <v>360</v>
      </c>
      <c r="S43">
        <v>1920</v>
      </c>
      <c r="T43" s="55"/>
      <c r="V43">
        <v>31</v>
      </c>
      <c r="W43" t="s">
        <v>82</v>
      </c>
      <c r="X43" t="s">
        <v>83</v>
      </c>
      <c r="Y43">
        <v>600</v>
      </c>
      <c r="Z43">
        <v>600</v>
      </c>
      <c r="AA43">
        <v>600</v>
      </c>
      <c r="AB43">
        <v>540</v>
      </c>
      <c r="AC43">
        <v>540</v>
      </c>
      <c r="AD43">
        <v>2880</v>
      </c>
    </row>
    <row r="44" spans="2:30" x14ac:dyDescent="0.25">
      <c r="B44" s="9" t="str">
        <f>HYPERLINK("\\mycloudpr2100\ПДО учет\ММЗ\Проект 12560\12560.254.02 Вставка (А2).pdf","12560.254.02")</f>
        <v>12560.254.02</v>
      </c>
      <c r="C44" s="25" t="s">
        <v>86</v>
      </c>
      <c r="D44" s="19">
        <v>44</v>
      </c>
      <c r="E44" s="25" t="s">
        <v>85</v>
      </c>
      <c r="I44" s="51">
        <v>44</v>
      </c>
      <c r="J44" s="26">
        <v>54</v>
      </c>
      <c r="K44" s="28" t="s">
        <v>172</v>
      </c>
      <c r="L44" s="41" t="s">
        <v>125</v>
      </c>
      <c r="M44" s="25" t="s">
        <v>126</v>
      </c>
      <c r="T44" s="55"/>
      <c r="V44">
        <v>32</v>
      </c>
      <c r="W44" t="s">
        <v>84</v>
      </c>
      <c r="X44" t="s">
        <v>77</v>
      </c>
      <c r="Y44">
        <v>400</v>
      </c>
      <c r="Z44">
        <v>400</v>
      </c>
      <c r="AA44">
        <v>400</v>
      </c>
      <c r="AB44">
        <v>360</v>
      </c>
      <c r="AC44">
        <v>360</v>
      </c>
      <c r="AD44">
        <v>1920</v>
      </c>
    </row>
    <row r="45" spans="2:30" x14ac:dyDescent="0.25">
      <c r="B45" s="9" t="str">
        <f>HYPERLINK("\\mycloudpr2100\ПДО учет\ММЗ\Проект 12560\12560.254.03 Вставка (А2).pdf","12560.254.03")</f>
        <v>12560.254.03</v>
      </c>
      <c r="C45" s="25" t="s">
        <v>86</v>
      </c>
      <c r="D45" s="19">
        <v>45</v>
      </c>
      <c r="E45" s="25" t="s">
        <v>87</v>
      </c>
      <c r="I45" s="51">
        <v>45</v>
      </c>
      <c r="J45" s="26">
        <v>54</v>
      </c>
      <c r="K45" s="28" t="s">
        <v>172</v>
      </c>
      <c r="L45" s="41" t="s">
        <v>127</v>
      </c>
      <c r="M45" s="25" t="s">
        <v>40</v>
      </c>
      <c r="T45" s="55"/>
      <c r="V45">
        <v>33</v>
      </c>
      <c r="W45" t="s">
        <v>85</v>
      </c>
      <c r="X45" t="s">
        <v>86</v>
      </c>
      <c r="Y45">
        <v>400</v>
      </c>
      <c r="Z45">
        <v>400</v>
      </c>
      <c r="AA45">
        <v>400</v>
      </c>
      <c r="AB45">
        <v>360</v>
      </c>
      <c r="AC45">
        <v>360</v>
      </c>
      <c r="AD45">
        <v>1920</v>
      </c>
    </row>
    <row r="46" spans="2:30" x14ac:dyDescent="0.25">
      <c r="B46" s="9" t="str">
        <f>HYPERLINK("\\mycloudpr2100\ПДО учет\ММЗ\Проект 12560\12560.256.01 Ось (А4).pdf","12560.256.01")</f>
        <v>12560.256.01</v>
      </c>
      <c r="C46" s="25" t="s">
        <v>89</v>
      </c>
      <c r="D46" s="19">
        <v>46</v>
      </c>
      <c r="E46" s="25" t="s">
        <v>88</v>
      </c>
      <c r="I46" s="51">
        <v>46</v>
      </c>
      <c r="J46" s="26">
        <v>54</v>
      </c>
      <c r="K46" s="28" t="s">
        <v>172</v>
      </c>
      <c r="L46" s="41" t="s">
        <v>128</v>
      </c>
      <c r="M46" s="25" t="s">
        <v>124</v>
      </c>
      <c r="T46" s="55"/>
      <c r="V46">
        <v>34</v>
      </c>
      <c r="W46" t="s">
        <v>87</v>
      </c>
      <c r="X46" t="s">
        <v>86</v>
      </c>
      <c r="Y46">
        <v>600</v>
      </c>
      <c r="Z46">
        <v>600</v>
      </c>
      <c r="AA46">
        <v>600</v>
      </c>
      <c r="AB46">
        <v>540</v>
      </c>
      <c r="AC46">
        <v>540</v>
      </c>
      <c r="AD46">
        <v>2880</v>
      </c>
    </row>
    <row r="47" spans="2:30" x14ac:dyDescent="0.25">
      <c r="B47" s="9" t="str">
        <f>HYPERLINK("\\mycloudpr2100\ПДО учет\ММЗ\Проект 12560\12560.256.02 Руль (А4х3).pdf","12560.256.02")</f>
        <v>12560.256.02</v>
      </c>
      <c r="C47" s="25" t="s">
        <v>91</v>
      </c>
      <c r="D47" s="19">
        <v>47</v>
      </c>
      <c r="E47" s="25" t="s">
        <v>90</v>
      </c>
      <c r="I47" s="51">
        <v>47</v>
      </c>
      <c r="J47" s="26"/>
      <c r="K47" s="28" t="s">
        <v>2</v>
      </c>
      <c r="L47" s="25" t="s">
        <v>321</v>
      </c>
      <c r="M47" s="25"/>
      <c r="T47" s="55"/>
      <c r="V47">
        <v>35</v>
      </c>
      <c r="W47" t="s">
        <v>88</v>
      </c>
      <c r="X47" t="s">
        <v>89</v>
      </c>
      <c r="Y47">
        <v>600</v>
      </c>
      <c r="Z47">
        <v>600</v>
      </c>
      <c r="AA47">
        <v>600</v>
      </c>
      <c r="AB47">
        <v>540</v>
      </c>
      <c r="AC47">
        <v>540</v>
      </c>
      <c r="AD47">
        <v>2880</v>
      </c>
    </row>
    <row r="48" spans="2:30" x14ac:dyDescent="0.25">
      <c r="B48" s="9" t="str">
        <f>HYPERLINK("\\mycloudpr2100\ПДО учет\ММЗ\Проект 12560\12560.256.02 Руль (А4х3).pdf","12560.256.02-01")</f>
        <v>12560.256.02-01</v>
      </c>
      <c r="C48" s="25" t="s">
        <v>91</v>
      </c>
      <c r="D48" s="19">
        <v>48</v>
      </c>
      <c r="E48" s="25" t="s">
        <v>92</v>
      </c>
      <c r="I48" s="43">
        <v>48</v>
      </c>
      <c r="J48" s="44">
        <v>55</v>
      </c>
      <c r="K48" s="45" t="s">
        <v>170</v>
      </c>
      <c r="L48" s="47" t="s">
        <v>129</v>
      </c>
      <c r="M48" s="47" t="s">
        <v>130</v>
      </c>
      <c r="N48">
        <v>200</v>
      </c>
      <c r="O48">
        <v>200</v>
      </c>
      <c r="P48">
        <v>200</v>
      </c>
      <c r="Q48">
        <v>180</v>
      </c>
      <c r="R48">
        <v>180</v>
      </c>
      <c r="S48">
        <v>960</v>
      </c>
      <c r="T48" s="55"/>
      <c r="V48">
        <v>36</v>
      </c>
      <c r="W48" t="s">
        <v>90</v>
      </c>
      <c r="X48" t="s">
        <v>91</v>
      </c>
      <c r="Y48">
        <v>400</v>
      </c>
      <c r="Z48">
        <v>400</v>
      </c>
      <c r="AA48">
        <v>400</v>
      </c>
      <c r="AB48">
        <v>360</v>
      </c>
      <c r="AC48">
        <v>360</v>
      </c>
      <c r="AD48">
        <v>1920</v>
      </c>
    </row>
    <row r="49" spans="2:30" x14ac:dyDescent="0.25">
      <c r="B49" s="9" t="str">
        <f>HYPERLINK("\\mycloudpr2100\ПДО учет\ММЗ\Проект 12560\12560.257.01 Пластина (А3).pdf","12560.257.01")</f>
        <v>12560.257.01</v>
      </c>
      <c r="C49" s="25" t="s">
        <v>77</v>
      </c>
      <c r="D49" s="19">
        <v>49</v>
      </c>
      <c r="E49" s="25" t="s">
        <v>93</v>
      </c>
      <c r="I49" s="51">
        <v>49</v>
      </c>
      <c r="J49" s="26">
        <v>55</v>
      </c>
      <c r="K49" s="28" t="s">
        <v>172</v>
      </c>
      <c r="L49" s="25" t="s">
        <v>322</v>
      </c>
      <c r="M49" s="25" t="s">
        <v>131</v>
      </c>
      <c r="T49" s="55"/>
      <c r="V49">
        <v>37</v>
      </c>
      <c r="W49" t="s">
        <v>92</v>
      </c>
      <c r="X49" t="s">
        <v>91</v>
      </c>
      <c r="Y49">
        <v>200</v>
      </c>
      <c r="Z49">
        <v>200</v>
      </c>
      <c r="AA49">
        <v>200</v>
      </c>
      <c r="AB49">
        <v>180</v>
      </c>
      <c r="AC49">
        <v>180</v>
      </c>
      <c r="AD49">
        <v>960</v>
      </c>
    </row>
    <row r="50" spans="2:30" x14ac:dyDescent="0.25">
      <c r="B50" s="9" t="str">
        <f>HYPERLINK("\\mycloudpr2100\ПДО учет\ММЗ\Проект 12560\12560.257.02 Профиль (А3).pdf","12560.257.02")</f>
        <v>12560.257.02</v>
      </c>
      <c r="C50" s="25" t="s">
        <v>64</v>
      </c>
      <c r="D50" s="19">
        <v>50</v>
      </c>
      <c r="E50" s="25" t="s">
        <v>94</v>
      </c>
      <c r="I50" s="51">
        <v>50</v>
      </c>
      <c r="J50" s="26">
        <v>55</v>
      </c>
      <c r="K50" s="28" t="s">
        <v>172</v>
      </c>
      <c r="L50" s="25" t="s">
        <v>323</v>
      </c>
      <c r="M50" s="25" t="s">
        <v>132</v>
      </c>
      <c r="T50" s="55"/>
      <c r="V50">
        <v>38</v>
      </c>
      <c r="W50" t="s">
        <v>93</v>
      </c>
      <c r="X50" t="s">
        <v>77</v>
      </c>
      <c r="Y50">
        <v>200</v>
      </c>
      <c r="Z50">
        <v>200</v>
      </c>
      <c r="AA50">
        <v>200</v>
      </c>
      <c r="AB50">
        <v>180</v>
      </c>
      <c r="AC50">
        <v>180</v>
      </c>
      <c r="AD50">
        <v>960</v>
      </c>
    </row>
    <row r="51" spans="2:30" x14ac:dyDescent="0.25">
      <c r="B51" s="9" t="str">
        <f>HYPERLINK("\\mycloudpr2100\ПДО учет\ММЗ\Проект 12560\12560.259.04 Вставка верхняя (А4х3).pdf","12560.259.04")</f>
        <v>12560.259.04</v>
      </c>
      <c r="C51" s="25" t="s">
        <v>96</v>
      </c>
      <c r="D51" s="19">
        <v>51</v>
      </c>
      <c r="E51" s="25" t="s">
        <v>95</v>
      </c>
      <c r="I51" s="51">
        <v>51</v>
      </c>
      <c r="J51" s="26"/>
      <c r="K51" s="28" t="s">
        <v>2</v>
      </c>
      <c r="L51" s="25" t="s">
        <v>324</v>
      </c>
      <c r="M51" s="25"/>
      <c r="T51" s="55"/>
      <c r="V51">
        <v>39</v>
      </c>
      <c r="W51" t="s">
        <v>94</v>
      </c>
      <c r="X51" t="s">
        <v>64</v>
      </c>
      <c r="Y51">
        <v>200</v>
      </c>
      <c r="Z51">
        <v>200</v>
      </c>
      <c r="AA51">
        <v>200</v>
      </c>
      <c r="AB51">
        <v>180</v>
      </c>
      <c r="AC51">
        <v>180</v>
      </c>
      <c r="AD51">
        <v>960</v>
      </c>
    </row>
    <row r="52" spans="2:30" x14ac:dyDescent="0.25">
      <c r="B52" s="9" t="str">
        <f>HYPERLINK("\\mycloudpr2100\ПДО учет\ММЗ\Проект 12560\12560.259.05 Пластина крепежная (А4).pdf","12560.259.05")</f>
        <v>12560.259.05</v>
      </c>
      <c r="C52" s="25" t="s">
        <v>98</v>
      </c>
      <c r="D52" s="19">
        <v>52</v>
      </c>
      <c r="E52" s="25" t="s">
        <v>97</v>
      </c>
      <c r="I52" s="51">
        <v>52</v>
      </c>
      <c r="J52" s="26"/>
      <c r="K52" s="28" t="s">
        <v>295</v>
      </c>
      <c r="L52" s="25" t="s">
        <v>325</v>
      </c>
      <c r="M52" s="25"/>
      <c r="T52" s="55"/>
      <c r="V52">
        <v>40</v>
      </c>
      <c r="W52" t="s">
        <v>95</v>
      </c>
      <c r="X52" t="s">
        <v>96</v>
      </c>
      <c r="Y52">
        <v>200</v>
      </c>
      <c r="Z52">
        <v>200</v>
      </c>
      <c r="AA52">
        <v>200</v>
      </c>
      <c r="AB52">
        <v>180</v>
      </c>
      <c r="AC52">
        <v>180</v>
      </c>
      <c r="AD52">
        <v>960</v>
      </c>
    </row>
    <row r="53" spans="2:30" x14ac:dyDescent="0.25">
      <c r="B53" s="9" t="str">
        <f>HYPERLINK("\\mycloudpr2100\ПДО учет\ММЗ\Проект 12560\12560.261.06 Груз (А4).pdf","12560.261.06")</f>
        <v>12560.261.06</v>
      </c>
      <c r="C53" s="25" t="s">
        <v>100</v>
      </c>
      <c r="D53" s="19">
        <v>53</v>
      </c>
      <c r="E53" s="25" t="s">
        <v>99</v>
      </c>
      <c r="I53" s="51">
        <v>53</v>
      </c>
      <c r="J53" s="26"/>
      <c r="K53" s="28" t="s">
        <v>295</v>
      </c>
      <c r="L53" s="25" t="s">
        <v>326</v>
      </c>
      <c r="M53" s="25"/>
      <c r="T53" s="55"/>
      <c r="V53">
        <v>41</v>
      </c>
      <c r="W53" t="s">
        <v>97</v>
      </c>
      <c r="X53" t="s">
        <v>98</v>
      </c>
      <c r="Y53">
        <v>200</v>
      </c>
      <c r="Z53">
        <v>200</v>
      </c>
      <c r="AA53">
        <v>200</v>
      </c>
      <c r="AB53">
        <v>180</v>
      </c>
      <c r="AC53">
        <v>180</v>
      </c>
      <c r="AD53">
        <v>960</v>
      </c>
    </row>
    <row r="54" spans="2:30" x14ac:dyDescent="0.25">
      <c r="B54" s="9" t="str">
        <f>HYPERLINK("\\mycloudpr2100\ПДО учет\ММЗ\Проект 12560\12560.271.03 Накладка (А2).pdf","12560.271.03")</f>
        <v>12560.271.03</v>
      </c>
      <c r="C54" s="25" t="s">
        <v>50</v>
      </c>
      <c r="D54" s="19">
        <v>54</v>
      </c>
      <c r="E54" s="25" t="s">
        <v>101</v>
      </c>
      <c r="I54" s="51">
        <v>54</v>
      </c>
      <c r="J54" s="26"/>
      <c r="K54" s="28" t="s">
        <v>295</v>
      </c>
      <c r="L54" s="25" t="s">
        <v>327</v>
      </c>
      <c r="M54" s="25"/>
      <c r="T54" s="55"/>
      <c r="V54">
        <v>42</v>
      </c>
      <c r="W54" t="s">
        <v>99</v>
      </c>
      <c r="X54" t="s">
        <v>100</v>
      </c>
      <c r="Y54">
        <v>200</v>
      </c>
      <c r="Z54">
        <v>200</v>
      </c>
      <c r="AA54">
        <v>200</v>
      </c>
      <c r="AB54">
        <v>180</v>
      </c>
      <c r="AC54">
        <v>180</v>
      </c>
      <c r="AD54">
        <v>960</v>
      </c>
    </row>
    <row r="55" spans="2:30" x14ac:dyDescent="0.25">
      <c r="B55" s="9" t="str">
        <f>HYPERLINK("\\mycloudpr2100\ПДО учет\ММЗ\Проект 12560\12560.271.03 Накладка (А2).pdf","12560.271.03-01")</f>
        <v>12560.271.03-01</v>
      </c>
      <c r="C55" s="25" t="s">
        <v>50</v>
      </c>
      <c r="D55" s="19">
        <v>55</v>
      </c>
      <c r="E55" s="25" t="s">
        <v>102</v>
      </c>
      <c r="I55" s="43">
        <v>55</v>
      </c>
      <c r="J55" s="44">
        <v>56</v>
      </c>
      <c r="K55" s="45" t="s">
        <v>170</v>
      </c>
      <c r="L55" s="47" t="s">
        <v>133</v>
      </c>
      <c r="M55" s="47" t="s">
        <v>134</v>
      </c>
      <c r="N55">
        <v>200</v>
      </c>
      <c r="O55">
        <v>200</v>
      </c>
      <c r="P55">
        <v>200</v>
      </c>
      <c r="Q55">
        <v>180</v>
      </c>
      <c r="R55">
        <v>180</v>
      </c>
      <c r="S55">
        <v>960</v>
      </c>
      <c r="T55" s="55"/>
      <c r="V55">
        <v>43</v>
      </c>
      <c r="W55" t="s">
        <v>101</v>
      </c>
      <c r="X55" t="s">
        <v>50</v>
      </c>
      <c r="Y55">
        <v>200</v>
      </c>
      <c r="Z55">
        <v>200</v>
      </c>
      <c r="AA55">
        <v>200</v>
      </c>
      <c r="AB55">
        <v>180</v>
      </c>
      <c r="AC55">
        <v>180</v>
      </c>
      <c r="AD55">
        <v>960</v>
      </c>
    </row>
    <row r="56" spans="2:30" x14ac:dyDescent="0.25">
      <c r="B56" s="9" t="str">
        <f>HYPERLINK("\\mycloudpr2100\ПДО учет\ММЗ\Проект 12560\12560.271.04 Накладка (А2).pdf","12560.271.04")</f>
        <v>12560.271.04</v>
      </c>
      <c r="C56" s="25" t="s">
        <v>50</v>
      </c>
      <c r="D56" s="19">
        <v>56</v>
      </c>
      <c r="E56" s="25" t="s">
        <v>103</v>
      </c>
      <c r="I56" s="51">
        <v>56</v>
      </c>
      <c r="J56" s="26">
        <v>56</v>
      </c>
      <c r="K56" s="28" t="s">
        <v>172</v>
      </c>
      <c r="L56" s="25" t="s">
        <v>328</v>
      </c>
      <c r="M56" s="25" t="s">
        <v>131</v>
      </c>
      <c r="T56" s="55"/>
      <c r="V56">
        <v>44</v>
      </c>
      <c r="W56" t="s">
        <v>102</v>
      </c>
      <c r="X56" t="s">
        <v>50</v>
      </c>
      <c r="Y56">
        <v>200</v>
      </c>
      <c r="Z56">
        <v>200</v>
      </c>
      <c r="AA56">
        <v>200</v>
      </c>
      <c r="AB56">
        <v>180</v>
      </c>
      <c r="AC56">
        <v>180</v>
      </c>
      <c r="AD56">
        <v>960</v>
      </c>
    </row>
    <row r="57" spans="2:30" x14ac:dyDescent="0.25">
      <c r="B57" s="9" t="str">
        <f>HYPERLINK("\\mycloudpr2100\ПДО учет\ММЗ\Проект 12560\12560.271.04 Накладка (А2).pdf","12560.271.04-01")</f>
        <v>12560.271.04-01</v>
      </c>
      <c r="C57" s="25" t="s">
        <v>50</v>
      </c>
      <c r="D57" s="19">
        <v>57</v>
      </c>
      <c r="E57" s="25" t="s">
        <v>104</v>
      </c>
      <c r="I57" s="51">
        <v>57</v>
      </c>
      <c r="J57" s="26">
        <v>56</v>
      </c>
      <c r="K57" s="28" t="s">
        <v>172</v>
      </c>
      <c r="L57" s="41" t="s">
        <v>135</v>
      </c>
      <c r="M57" s="25" t="s">
        <v>134</v>
      </c>
      <c r="T57" s="55"/>
      <c r="V57">
        <v>45</v>
      </c>
      <c r="W57" t="s">
        <v>103</v>
      </c>
      <c r="X57" t="s">
        <v>50</v>
      </c>
      <c r="Y57">
        <v>200</v>
      </c>
      <c r="Z57">
        <v>200</v>
      </c>
      <c r="AA57">
        <v>200</v>
      </c>
      <c r="AB57">
        <v>180</v>
      </c>
      <c r="AC57">
        <v>180</v>
      </c>
      <c r="AD57">
        <v>960</v>
      </c>
    </row>
    <row r="58" spans="2:30" x14ac:dyDescent="0.25">
      <c r="B58" s="9" t="str">
        <f>HYPERLINK("\\mycloudpr2100\ПДО учет\ММЗ\Проект 12560\12560.271.05 Шайба (А4).pdf","12560.271.05")</f>
        <v>12560.271.05</v>
      </c>
      <c r="C58" s="25" t="s">
        <v>106</v>
      </c>
      <c r="D58" s="19">
        <v>58</v>
      </c>
      <c r="E58" s="25" t="s">
        <v>105</v>
      </c>
      <c r="I58" s="51">
        <v>58</v>
      </c>
      <c r="J58" s="26"/>
      <c r="K58" s="28" t="s">
        <v>295</v>
      </c>
      <c r="L58" s="25" t="s">
        <v>329</v>
      </c>
      <c r="M58" s="25"/>
      <c r="T58" s="55"/>
      <c r="V58">
        <v>46</v>
      </c>
      <c r="W58" t="s">
        <v>104</v>
      </c>
      <c r="X58" t="s">
        <v>50</v>
      </c>
      <c r="Y58">
        <v>200</v>
      </c>
      <c r="Z58">
        <v>200</v>
      </c>
      <c r="AA58">
        <v>200</v>
      </c>
      <c r="AB58">
        <v>180</v>
      </c>
      <c r="AC58">
        <v>180</v>
      </c>
      <c r="AD58">
        <v>960</v>
      </c>
    </row>
    <row r="59" spans="2:30" x14ac:dyDescent="0.25">
      <c r="B59" s="9" t="str">
        <f>HYPERLINK("\\mycloudpr2100\ПДО учет\ММЗ\Проект 12560\12560.280.02 Хомут (А4х3).pdf","12560.280.02")</f>
        <v>12560.280.02</v>
      </c>
      <c r="C59" s="25" t="s">
        <v>23</v>
      </c>
      <c r="D59" s="19">
        <v>59</v>
      </c>
      <c r="E59" s="25" t="s">
        <v>107</v>
      </c>
      <c r="I59" s="51">
        <v>59</v>
      </c>
      <c r="J59" s="26"/>
      <c r="K59" s="28" t="s">
        <v>295</v>
      </c>
      <c r="L59" s="25" t="s">
        <v>326</v>
      </c>
      <c r="M59" s="25"/>
      <c r="T59" s="55"/>
      <c r="V59">
        <v>47</v>
      </c>
      <c r="W59" t="s">
        <v>105</v>
      </c>
      <c r="X59" t="s">
        <v>106</v>
      </c>
      <c r="Y59">
        <v>1200</v>
      </c>
      <c r="Z59">
        <v>1200</v>
      </c>
      <c r="AA59">
        <v>1200</v>
      </c>
      <c r="AB59">
        <v>1080</v>
      </c>
      <c r="AC59">
        <v>1080</v>
      </c>
      <c r="AD59">
        <v>5760</v>
      </c>
    </row>
    <row r="60" spans="2:30" x14ac:dyDescent="0.25">
      <c r="B60" s="9" t="str">
        <f>HYPERLINK("\\mycloudpr2100\ПДО учет\ММЗ\Проект 12560\12560.280.03 Болт (А4).pdf","12560.280.03")</f>
        <v>12560.280.03</v>
      </c>
      <c r="C60" s="25" t="s">
        <v>109</v>
      </c>
      <c r="D60" s="19">
        <v>60</v>
      </c>
      <c r="E60" s="25" t="s">
        <v>108</v>
      </c>
      <c r="I60" s="51">
        <v>60</v>
      </c>
      <c r="J60" s="26"/>
      <c r="K60" s="28" t="s">
        <v>295</v>
      </c>
      <c r="L60" s="25" t="s">
        <v>327</v>
      </c>
      <c r="M60" s="25"/>
      <c r="T60" s="55"/>
      <c r="V60">
        <v>48</v>
      </c>
      <c r="W60" t="s">
        <v>107</v>
      </c>
      <c r="X60" t="s">
        <v>23</v>
      </c>
      <c r="Y60">
        <v>200</v>
      </c>
      <c r="Z60">
        <v>200</v>
      </c>
      <c r="AA60">
        <v>200</v>
      </c>
      <c r="AB60">
        <v>180</v>
      </c>
      <c r="AC60">
        <v>180</v>
      </c>
      <c r="AD60">
        <v>960</v>
      </c>
    </row>
    <row r="61" spans="2:30" x14ac:dyDescent="0.25">
      <c r="B61" s="9" t="str">
        <f>HYPERLINK("\\mycloudpr2100\ПДО учет\ММЗ\Проект 12560\12560.280.04 Проставка (А4).pdf","12560.280.04")</f>
        <v>12560.280.04</v>
      </c>
      <c r="C61" s="25" t="s">
        <v>111</v>
      </c>
      <c r="D61" s="19">
        <v>61</v>
      </c>
      <c r="E61" s="25" t="s">
        <v>110</v>
      </c>
      <c r="I61" s="43">
        <v>61</v>
      </c>
      <c r="J61" s="44">
        <v>57</v>
      </c>
      <c r="K61" s="45" t="s">
        <v>170</v>
      </c>
      <c r="L61" s="47" t="s">
        <v>136</v>
      </c>
      <c r="M61" s="47" t="s">
        <v>137</v>
      </c>
      <c r="N61">
        <v>400</v>
      </c>
      <c r="O61">
        <v>400</v>
      </c>
      <c r="P61">
        <v>400</v>
      </c>
      <c r="Q61">
        <v>360</v>
      </c>
      <c r="R61">
        <v>360</v>
      </c>
      <c r="S61">
        <v>1920</v>
      </c>
      <c r="T61" s="55"/>
      <c r="V61">
        <v>49</v>
      </c>
      <c r="W61" t="s">
        <v>108</v>
      </c>
      <c r="X61" t="s">
        <v>109</v>
      </c>
      <c r="Y61">
        <v>800</v>
      </c>
      <c r="Z61">
        <v>800</v>
      </c>
      <c r="AA61">
        <v>800</v>
      </c>
      <c r="AB61">
        <v>720</v>
      </c>
      <c r="AC61">
        <v>720</v>
      </c>
      <c r="AD61">
        <v>3840</v>
      </c>
    </row>
    <row r="62" spans="2:30" x14ac:dyDescent="0.25">
      <c r="B62" s="9" t="str">
        <f>HYPERLINK("\\mycloudpr2100\ПДО учет\ММЗ\Проект 12560\12560.280.05 Проставка (А4).pdf","12560.280.05")</f>
        <v>12560.280.05</v>
      </c>
      <c r="C62" s="25" t="s">
        <v>111</v>
      </c>
      <c r="D62" s="19">
        <v>62</v>
      </c>
      <c r="E62" s="25" t="s">
        <v>112</v>
      </c>
      <c r="I62" s="51">
        <v>62</v>
      </c>
      <c r="J62" s="26">
        <v>57</v>
      </c>
      <c r="K62" s="28" t="s">
        <v>172</v>
      </c>
      <c r="L62" s="41" t="s">
        <v>138</v>
      </c>
      <c r="M62" s="25" t="s">
        <v>32</v>
      </c>
      <c r="T62" s="55"/>
      <c r="V62">
        <v>50</v>
      </c>
      <c r="W62" t="s">
        <v>110</v>
      </c>
      <c r="X62" t="s">
        <v>111</v>
      </c>
      <c r="Y62">
        <v>200</v>
      </c>
      <c r="Z62">
        <v>200</v>
      </c>
      <c r="AA62">
        <v>200</v>
      </c>
      <c r="AB62">
        <v>180</v>
      </c>
      <c r="AC62">
        <v>180</v>
      </c>
      <c r="AD62">
        <v>960</v>
      </c>
    </row>
    <row r="63" spans="2:30" x14ac:dyDescent="0.25">
      <c r="B63" s="9" t="str">
        <f>HYPERLINK("\\mycloudpr2100\ПДО учет\ММЗ\Проект 12560\12560.280.08 Ограничитель (А4х4).pdf","12560.280.08")</f>
        <v>12560.280.08</v>
      </c>
      <c r="C63" s="25" t="s">
        <v>114</v>
      </c>
      <c r="D63" s="19">
        <v>63</v>
      </c>
      <c r="E63" s="25" t="s">
        <v>113</v>
      </c>
      <c r="I63" s="51">
        <v>63</v>
      </c>
      <c r="J63" s="26">
        <v>57</v>
      </c>
      <c r="K63" s="28" t="s">
        <v>172</v>
      </c>
      <c r="L63" s="41" t="s">
        <v>139</v>
      </c>
      <c r="M63" s="25" t="s">
        <v>118</v>
      </c>
      <c r="T63" s="55"/>
      <c r="V63">
        <v>51</v>
      </c>
      <c r="W63" t="s">
        <v>112</v>
      </c>
      <c r="X63" t="s">
        <v>111</v>
      </c>
      <c r="Y63">
        <v>200</v>
      </c>
      <c r="Z63">
        <v>200</v>
      </c>
      <c r="AA63">
        <v>200</v>
      </c>
      <c r="AB63">
        <v>180</v>
      </c>
      <c r="AC63">
        <v>180</v>
      </c>
      <c r="AD63">
        <v>960</v>
      </c>
    </row>
    <row r="64" spans="2:30" x14ac:dyDescent="0.25">
      <c r="B64" s="9" t="str">
        <f>HYPERLINK("\\mycloudpr2100\ПДО учет\ММЗ\Проект 12560\12560.282.00 СБ Кронштейн (А4х3).pdf","12560.282.00СБ")</f>
        <v>12560.282.00СБ</v>
      </c>
      <c r="C64" s="9" t="str">
        <f>HYPERLINK("\\mycloudpr2100\ПДО учет\ММЗ\Проект 12560\12560.282.00 Кронштейн (А4).pdf","Кронштейн")</f>
        <v>Кронштейн</v>
      </c>
      <c r="D64" s="19">
        <v>64</v>
      </c>
      <c r="E64" s="30" t="s">
        <v>115</v>
      </c>
      <c r="F64" s="30" t="s">
        <v>32</v>
      </c>
      <c r="I64" s="51">
        <v>64</v>
      </c>
      <c r="J64" s="26">
        <v>57</v>
      </c>
      <c r="K64" s="28" t="s">
        <v>172</v>
      </c>
      <c r="L64" s="41" t="s">
        <v>140</v>
      </c>
      <c r="M64" s="25" t="s">
        <v>121</v>
      </c>
      <c r="T64" s="54"/>
      <c r="V64">
        <v>52</v>
      </c>
      <c r="W64" t="s">
        <v>113</v>
      </c>
      <c r="X64" t="s">
        <v>114</v>
      </c>
      <c r="Y64">
        <v>200</v>
      </c>
      <c r="Z64">
        <v>200</v>
      </c>
      <c r="AA64">
        <v>200</v>
      </c>
      <c r="AB64">
        <v>180</v>
      </c>
      <c r="AC64">
        <v>180</v>
      </c>
      <c r="AD64">
        <v>960</v>
      </c>
    </row>
    <row r="65" spans="2:30" x14ac:dyDescent="0.25">
      <c r="B65" s="9" t="str">
        <f>HYPERLINK("\\mycloudpr2100\ПДО учет\ММЗ\Проект 12560\12560.282.01 Кронштейн (А1).pdf","12560.282.01")</f>
        <v>12560.282.01</v>
      </c>
      <c r="C65" s="25" t="s">
        <v>32</v>
      </c>
      <c r="D65" s="19">
        <v>65</v>
      </c>
      <c r="E65" s="25" t="s">
        <v>116</v>
      </c>
      <c r="I65" s="51">
        <v>65</v>
      </c>
      <c r="J65" s="26">
        <v>57</v>
      </c>
      <c r="K65" s="28" t="s">
        <v>172</v>
      </c>
      <c r="L65" s="41" t="s">
        <v>141</v>
      </c>
      <c r="M65" s="25" t="s">
        <v>83</v>
      </c>
      <c r="T65" s="55"/>
      <c r="V65">
        <v>53</v>
      </c>
      <c r="W65" t="s">
        <v>115</v>
      </c>
      <c r="X65" t="s">
        <v>32</v>
      </c>
      <c r="Y65">
        <v>200</v>
      </c>
      <c r="Z65">
        <v>200</v>
      </c>
      <c r="AA65">
        <v>200</v>
      </c>
      <c r="AB65">
        <v>180</v>
      </c>
      <c r="AC65">
        <v>180</v>
      </c>
      <c r="AD65">
        <v>960</v>
      </c>
    </row>
    <row r="66" spans="2:30" x14ac:dyDescent="0.25">
      <c r="B66" s="9" t="str">
        <f>HYPERLINK("\\mycloudpr2100\ПДО учет\ММЗ\Проект 12560\12560.282.02 Упор (А3).pdf","12560.282.02")</f>
        <v>12560.282.02</v>
      </c>
      <c r="C66" s="25" t="s">
        <v>118</v>
      </c>
      <c r="D66" s="19">
        <v>66</v>
      </c>
      <c r="E66" s="25" t="s">
        <v>117</v>
      </c>
      <c r="I66" s="51">
        <v>66</v>
      </c>
      <c r="J66" s="26">
        <v>57</v>
      </c>
      <c r="K66" s="28" t="s">
        <v>172</v>
      </c>
      <c r="L66" s="41" t="s">
        <v>142</v>
      </c>
      <c r="M66" s="25" t="s">
        <v>121</v>
      </c>
      <c r="T66" s="55"/>
      <c r="W66" t="s">
        <v>116</v>
      </c>
      <c r="X66" t="s">
        <v>32</v>
      </c>
    </row>
    <row r="67" spans="2:30" x14ac:dyDescent="0.25">
      <c r="B67" s="9" t="str">
        <f>HYPERLINK("\\mycloudpr2100\ПДО учет\ММЗ\Проект 12560\12560.282.03 Ось (А4).pdf","12560.282.03")</f>
        <v>12560.282.03</v>
      </c>
      <c r="C67" s="25" t="s">
        <v>89</v>
      </c>
      <c r="D67" s="19">
        <v>67</v>
      </c>
      <c r="E67" s="25" t="s">
        <v>119</v>
      </c>
      <c r="I67" s="51">
        <v>67</v>
      </c>
      <c r="J67" s="26">
        <v>57</v>
      </c>
      <c r="K67" s="28" t="s">
        <v>172</v>
      </c>
      <c r="L67" s="41" t="s">
        <v>143</v>
      </c>
      <c r="M67" s="25" t="s">
        <v>109</v>
      </c>
      <c r="T67" s="55"/>
      <c r="W67" t="s">
        <v>117</v>
      </c>
      <c r="X67" t="s">
        <v>118</v>
      </c>
    </row>
    <row r="68" spans="2:30" x14ac:dyDescent="0.25">
      <c r="B68" s="9" t="str">
        <f>HYPERLINK("\\mycloudpr2100\ПДО учет\ММЗ\Проект 12560\12560.282.04 Пружина (А3).pdf","12560.282.04")</f>
        <v>12560.282.04</v>
      </c>
      <c r="C68" s="25" t="s">
        <v>121</v>
      </c>
      <c r="D68" s="19">
        <v>68</v>
      </c>
      <c r="E68" s="25" t="s">
        <v>120</v>
      </c>
      <c r="I68" s="51">
        <v>68</v>
      </c>
      <c r="J68" s="25"/>
      <c r="K68" s="28"/>
      <c r="L68" s="49"/>
      <c r="M68" s="49"/>
      <c r="T68" s="55"/>
      <c r="W68" t="s">
        <v>119</v>
      </c>
      <c r="X68" t="s">
        <v>89</v>
      </c>
    </row>
    <row r="69" spans="2:30" x14ac:dyDescent="0.25">
      <c r="B69" s="25" t="s">
        <v>47</v>
      </c>
      <c r="C69" s="25" t="s">
        <v>122</v>
      </c>
      <c r="D69" s="19">
        <v>69</v>
      </c>
      <c r="I69" s="51">
        <v>69</v>
      </c>
      <c r="J69" s="26">
        <v>2</v>
      </c>
      <c r="K69" s="28" t="s">
        <v>171</v>
      </c>
      <c r="L69" s="41" t="s">
        <v>31</v>
      </c>
      <c r="M69" s="25" t="s">
        <v>32</v>
      </c>
      <c r="N69">
        <v>200</v>
      </c>
      <c r="O69">
        <v>200</v>
      </c>
      <c r="P69">
        <v>200</v>
      </c>
      <c r="Q69">
        <v>180</v>
      </c>
      <c r="R69">
        <v>180</v>
      </c>
      <c r="S69">
        <v>960</v>
      </c>
      <c r="T69" s="55"/>
      <c r="W69" t="s">
        <v>120</v>
      </c>
      <c r="X69" t="s">
        <v>121</v>
      </c>
    </row>
    <row r="70" spans="2:30" x14ac:dyDescent="0.25">
      <c r="B70" s="9" t="str">
        <f>HYPERLINK("\\mycloudpr2100\ПДО учет\ММЗ\Проект 12560\12560.283.00 СБ Тяга (А3).pdf","12560.283.00СБ")</f>
        <v>12560.283.00СБ</v>
      </c>
      <c r="C70" s="9" t="str">
        <f>HYPERLINK("\\mycloudpr2100\ПДО учет\ММЗ\Проект 12560\12560.283.00 Тяга (А4).pdf","Тяга")</f>
        <v>Тяга</v>
      </c>
      <c r="D70" s="19">
        <v>70</v>
      </c>
      <c r="E70" s="30" t="s">
        <v>123</v>
      </c>
      <c r="F70" s="30" t="s">
        <v>124</v>
      </c>
      <c r="I70" s="51">
        <v>70</v>
      </c>
      <c r="J70" s="26">
        <v>3</v>
      </c>
      <c r="K70" s="28" t="s">
        <v>171</v>
      </c>
      <c r="L70" s="41" t="s">
        <v>334</v>
      </c>
      <c r="M70" s="25" t="s">
        <v>32</v>
      </c>
      <c r="N70">
        <v>200</v>
      </c>
      <c r="O70">
        <v>200</v>
      </c>
      <c r="P70">
        <v>200</v>
      </c>
      <c r="Q70">
        <v>180</v>
      </c>
      <c r="R70">
        <v>180</v>
      </c>
      <c r="S70">
        <v>960</v>
      </c>
      <c r="T70" s="54"/>
      <c r="W70" t="s">
        <v>47</v>
      </c>
      <c r="X70" t="s">
        <v>122</v>
      </c>
    </row>
    <row r="71" spans="2:30" x14ac:dyDescent="0.25">
      <c r="B71" s="9" t="str">
        <f>HYPERLINK("\\mycloudpr2100\ПДО учет\ММЗ\Проект 12560\12560.283.01 Вилка (А4х3).pdf","12560.283.01")</f>
        <v>12560.283.01</v>
      </c>
      <c r="C71" s="25" t="s">
        <v>126</v>
      </c>
      <c r="D71" s="19">
        <v>71</v>
      </c>
      <c r="E71" s="26" t="s">
        <v>125</v>
      </c>
      <c r="I71" s="51">
        <v>71</v>
      </c>
      <c r="J71" s="26">
        <v>4</v>
      </c>
      <c r="K71" s="28" t="s">
        <v>171</v>
      </c>
      <c r="L71" s="41" t="s">
        <v>33</v>
      </c>
      <c r="M71" s="25" t="s">
        <v>34</v>
      </c>
      <c r="N71">
        <v>200</v>
      </c>
      <c r="O71">
        <v>200</v>
      </c>
      <c r="P71">
        <v>200</v>
      </c>
      <c r="Q71">
        <v>180</v>
      </c>
      <c r="R71">
        <v>180</v>
      </c>
      <c r="S71">
        <v>960</v>
      </c>
      <c r="T71" s="55"/>
      <c r="V71">
        <v>54</v>
      </c>
      <c r="W71" t="s">
        <v>123</v>
      </c>
      <c r="X71" t="s">
        <v>124</v>
      </c>
      <c r="Y71">
        <v>400</v>
      </c>
      <c r="Z71">
        <v>400</v>
      </c>
      <c r="AA71">
        <v>400</v>
      </c>
      <c r="AB71">
        <v>360</v>
      </c>
      <c r="AC71">
        <v>360</v>
      </c>
      <c r="AD71">
        <v>1920</v>
      </c>
    </row>
    <row r="72" spans="2:30" x14ac:dyDescent="0.25">
      <c r="B72" s="9" t="str">
        <f>HYPERLINK("\\mycloudpr2100\ПДО учет\ММЗ\Проект 12560\12560.283.02 Гайка (А4).pdf","12560.283.02")</f>
        <v>12560.283.02</v>
      </c>
      <c r="C72" s="25" t="s">
        <v>40</v>
      </c>
      <c r="D72" s="19">
        <v>72</v>
      </c>
      <c r="E72" s="26" t="s">
        <v>127</v>
      </c>
      <c r="I72" s="51">
        <v>72</v>
      </c>
      <c r="J72" s="26">
        <v>5</v>
      </c>
      <c r="K72" s="28" t="s">
        <v>171</v>
      </c>
      <c r="L72" s="41" t="s">
        <v>35</v>
      </c>
      <c r="M72" s="25" t="s">
        <v>36</v>
      </c>
      <c r="N72">
        <v>200</v>
      </c>
      <c r="O72">
        <v>200</v>
      </c>
      <c r="P72">
        <v>200</v>
      </c>
      <c r="Q72">
        <v>180</v>
      </c>
      <c r="R72">
        <v>180</v>
      </c>
      <c r="S72">
        <v>960</v>
      </c>
      <c r="T72" s="55"/>
      <c r="W72" t="s">
        <v>125</v>
      </c>
      <c r="X72" t="s">
        <v>126</v>
      </c>
    </row>
    <row r="73" spans="2:30" x14ac:dyDescent="0.25">
      <c r="B73" s="9" t="str">
        <f>HYPERLINK("\\mycloudpr2100\ПДО учет\ММЗ\Проект 12560\12560.283.03 Тяга (А4х3).pdf","12560.283.03")</f>
        <v>12560.283.03</v>
      </c>
      <c r="C73" s="25" t="s">
        <v>124</v>
      </c>
      <c r="D73" s="19">
        <v>73</v>
      </c>
      <c r="E73" s="26" t="s">
        <v>128</v>
      </c>
      <c r="I73" s="51">
        <v>73</v>
      </c>
      <c r="J73" s="26">
        <v>6</v>
      </c>
      <c r="K73" s="28" t="s">
        <v>171</v>
      </c>
      <c r="L73" s="41" t="s">
        <v>37</v>
      </c>
      <c r="M73" s="25" t="s">
        <v>36</v>
      </c>
      <c r="N73">
        <v>200</v>
      </c>
      <c r="O73">
        <v>200</v>
      </c>
      <c r="P73">
        <v>200</v>
      </c>
      <c r="Q73">
        <v>180</v>
      </c>
      <c r="R73">
        <v>180</v>
      </c>
      <c r="S73">
        <v>960</v>
      </c>
      <c r="T73" s="55"/>
      <c r="W73" t="s">
        <v>127</v>
      </c>
      <c r="X73" t="s">
        <v>40</v>
      </c>
    </row>
    <row r="74" spans="2:30" x14ac:dyDescent="0.25">
      <c r="B74" s="9" t="str">
        <f>HYPERLINK("\\mycloudpr2100\ПДО учет\ММЗ\Проект 12560\12560.284.00 СБ Страховочный болт (4х3).pdf","12560.284.00СБ")</f>
        <v>12560.284.00СБ</v>
      </c>
      <c r="C74" s="9" t="str">
        <f>HYPERLINK("\\mycloudpr2100\ПДО учет\ММЗ\Проект 12560\12560.284.00 Страховочный болт (А4).pdf","Страховочный болт")</f>
        <v>Страховочный болт</v>
      </c>
      <c r="D74" s="19">
        <v>74</v>
      </c>
      <c r="E74" s="30" t="s">
        <v>129</v>
      </c>
      <c r="F74" s="30" t="s">
        <v>130</v>
      </c>
      <c r="I74" s="51">
        <v>74</v>
      </c>
      <c r="J74" s="26">
        <v>7</v>
      </c>
      <c r="K74" s="28" t="s">
        <v>171</v>
      </c>
      <c r="L74" s="41" t="s">
        <v>38</v>
      </c>
      <c r="M74" s="25" t="s">
        <v>32</v>
      </c>
      <c r="N74">
        <v>200</v>
      </c>
      <c r="O74">
        <v>200</v>
      </c>
      <c r="P74">
        <v>200</v>
      </c>
      <c r="Q74">
        <v>180</v>
      </c>
      <c r="R74">
        <v>180</v>
      </c>
      <c r="S74">
        <v>960</v>
      </c>
      <c r="T74" s="54"/>
      <c r="W74" t="s">
        <v>128</v>
      </c>
      <c r="X74" t="s">
        <v>124</v>
      </c>
    </row>
    <row r="75" spans="2:30" x14ac:dyDescent="0.25">
      <c r="B75" s="25" t="s">
        <v>47</v>
      </c>
      <c r="C75" s="25" t="s">
        <v>131</v>
      </c>
      <c r="D75" s="19">
        <v>75</v>
      </c>
      <c r="I75" s="51">
        <v>75</v>
      </c>
      <c r="J75" s="26">
        <v>8</v>
      </c>
      <c r="K75" s="28" t="s">
        <v>171</v>
      </c>
      <c r="L75" s="41" t="s">
        <v>39</v>
      </c>
      <c r="M75" s="25" t="s">
        <v>40</v>
      </c>
      <c r="N75">
        <v>200</v>
      </c>
      <c r="O75">
        <v>200</v>
      </c>
      <c r="P75">
        <v>200</v>
      </c>
      <c r="Q75">
        <v>180</v>
      </c>
      <c r="R75">
        <v>180</v>
      </c>
      <c r="S75">
        <v>960</v>
      </c>
      <c r="T75" s="55"/>
      <c r="V75">
        <v>55</v>
      </c>
      <c r="W75" t="s">
        <v>129</v>
      </c>
      <c r="X75" t="s">
        <v>130</v>
      </c>
      <c r="Y75">
        <v>200</v>
      </c>
      <c r="Z75">
        <v>200</v>
      </c>
      <c r="AA75">
        <v>200</v>
      </c>
      <c r="AB75">
        <v>180</v>
      </c>
      <c r="AC75">
        <v>180</v>
      </c>
      <c r="AD75">
        <v>960</v>
      </c>
    </row>
    <row r="76" spans="2:30" x14ac:dyDescent="0.25">
      <c r="B76" s="25" t="s">
        <v>47</v>
      </c>
      <c r="C76" s="25" t="s">
        <v>132</v>
      </c>
      <c r="D76" s="19">
        <v>76</v>
      </c>
      <c r="I76" s="51">
        <v>76</v>
      </c>
      <c r="J76" s="26">
        <v>9</v>
      </c>
      <c r="K76" s="28" t="s">
        <v>171</v>
      </c>
      <c r="L76" s="41" t="s">
        <v>41</v>
      </c>
      <c r="M76" s="25" t="s">
        <v>42</v>
      </c>
      <c r="N76">
        <v>400</v>
      </c>
      <c r="O76">
        <v>400</v>
      </c>
      <c r="P76">
        <v>400</v>
      </c>
      <c r="Q76">
        <v>360</v>
      </c>
      <c r="R76">
        <v>360</v>
      </c>
      <c r="S76">
        <v>1920</v>
      </c>
      <c r="T76" s="55"/>
      <c r="W76" t="s">
        <v>47</v>
      </c>
      <c r="X76" t="s">
        <v>131</v>
      </c>
    </row>
    <row r="77" spans="2:30" x14ac:dyDescent="0.25">
      <c r="B77" s="9" t="str">
        <f>HYPERLINK("\\mycloudpr2100\ПДО учет\ММЗ\Проект 12560\12560.285.00 СБ Чека (А3).pdf","12560.285.00СБ")</f>
        <v>12560.285.00СБ</v>
      </c>
      <c r="C77" s="9" t="str">
        <f>HYPERLINK("\\mycloudpr2100\ПДО учет\ММЗ\Проект 12560\12560.285.00 Чека (А4).pdf","Чека")</f>
        <v>Чека</v>
      </c>
      <c r="D77" s="19">
        <v>77</v>
      </c>
      <c r="E77" s="30" t="s">
        <v>133</v>
      </c>
      <c r="F77" s="30" t="s">
        <v>134</v>
      </c>
      <c r="I77" s="51">
        <v>77</v>
      </c>
      <c r="J77" s="26">
        <v>10</v>
      </c>
      <c r="K77" s="28" t="s">
        <v>171</v>
      </c>
      <c r="L77" s="41" t="s">
        <v>43</v>
      </c>
      <c r="M77" s="25" t="s">
        <v>42</v>
      </c>
      <c r="N77">
        <v>400</v>
      </c>
      <c r="O77">
        <v>400</v>
      </c>
      <c r="P77">
        <v>400</v>
      </c>
      <c r="Q77">
        <v>360</v>
      </c>
      <c r="R77">
        <v>360</v>
      </c>
      <c r="S77">
        <v>1920</v>
      </c>
      <c r="T77" s="54"/>
      <c r="W77" t="s">
        <v>47</v>
      </c>
      <c r="X77" t="s">
        <v>132</v>
      </c>
    </row>
    <row r="78" spans="2:30" x14ac:dyDescent="0.25">
      <c r="B78" s="25" t="s">
        <v>47</v>
      </c>
      <c r="C78" s="25" t="s">
        <v>131</v>
      </c>
      <c r="D78" s="19">
        <v>78</v>
      </c>
      <c r="I78" s="51">
        <v>78</v>
      </c>
      <c r="J78" s="26">
        <v>11</v>
      </c>
      <c r="K78" s="28" t="s">
        <v>171</v>
      </c>
      <c r="L78" s="41" t="s">
        <v>44</v>
      </c>
      <c r="M78" s="25" t="s">
        <v>36</v>
      </c>
      <c r="N78">
        <v>400</v>
      </c>
      <c r="O78">
        <v>400</v>
      </c>
      <c r="P78">
        <v>400</v>
      </c>
      <c r="Q78">
        <v>360</v>
      </c>
      <c r="R78">
        <v>360</v>
      </c>
      <c r="S78">
        <v>1920</v>
      </c>
      <c r="T78" s="55"/>
      <c r="V78">
        <v>56</v>
      </c>
      <c r="W78" t="s">
        <v>133</v>
      </c>
      <c r="X78" t="s">
        <v>134</v>
      </c>
      <c r="Y78">
        <v>200</v>
      </c>
      <c r="Z78">
        <v>200</v>
      </c>
      <c r="AA78">
        <v>200</v>
      </c>
      <c r="AB78">
        <v>180</v>
      </c>
      <c r="AC78">
        <v>180</v>
      </c>
      <c r="AD78">
        <v>960</v>
      </c>
    </row>
    <row r="79" spans="2:30" x14ac:dyDescent="0.25">
      <c r="B79" s="9" t="str">
        <f>HYPERLINK("\\mycloudpr2100\ПДО учет\ММЗ\Проект 12560\12560.285.01 Чека (А3).pdf","12560.285.01")</f>
        <v>12560.285.01</v>
      </c>
      <c r="C79" s="25" t="s">
        <v>134</v>
      </c>
      <c r="D79" s="19">
        <v>79</v>
      </c>
      <c r="E79" s="25" t="s">
        <v>135</v>
      </c>
      <c r="I79" s="51">
        <v>79</v>
      </c>
      <c r="J79" s="25"/>
      <c r="K79" s="28"/>
      <c r="L79" s="49"/>
      <c r="M79" s="49"/>
      <c r="T79" s="55"/>
      <c r="W79" t="s">
        <v>47</v>
      </c>
      <c r="X79" t="s">
        <v>131</v>
      </c>
    </row>
    <row r="80" spans="2:30" x14ac:dyDescent="0.25">
      <c r="B80" s="9" t="str">
        <f>HYPERLINK("\\mycloudpr2100\ПДО учет\ММЗ\Проект 12560\12560.286.00 СБ Фиксатор крыла (А2).pdf","12560.286.00СБ")</f>
        <v>12560.286.00СБ</v>
      </c>
      <c r="C80" s="9" t="str">
        <f>HYPERLINK("\\mycloudpr2100\ПДО учет\ММЗ\Проект 12560\12560.286.00-Фиксатор крыла.pdf","Фиксатор крыла")</f>
        <v>Фиксатор крыла</v>
      </c>
      <c r="D80" s="19">
        <v>80</v>
      </c>
      <c r="E80" s="30" t="s">
        <v>136</v>
      </c>
      <c r="F80" s="30" t="s">
        <v>137</v>
      </c>
      <c r="I80" s="51">
        <v>80</v>
      </c>
      <c r="J80" s="26">
        <v>13</v>
      </c>
      <c r="K80" s="28" t="s">
        <v>171</v>
      </c>
      <c r="L80" s="41" t="s">
        <v>49</v>
      </c>
      <c r="M80" s="25" t="s">
        <v>50</v>
      </c>
      <c r="N80">
        <v>200</v>
      </c>
      <c r="O80">
        <v>200</v>
      </c>
      <c r="P80">
        <v>200</v>
      </c>
      <c r="Q80">
        <v>180</v>
      </c>
      <c r="R80">
        <v>180</v>
      </c>
      <c r="S80">
        <v>960</v>
      </c>
      <c r="T80" s="54"/>
      <c r="W80" t="s">
        <v>135</v>
      </c>
      <c r="X80" t="s">
        <v>134</v>
      </c>
    </row>
    <row r="81" spans="2:30" x14ac:dyDescent="0.25">
      <c r="B81" s="9" t="str">
        <f>HYPERLINK("\\mycloudpr2100\ПДО учет\ММЗ\Проект 12560\12560.286.01 Кронштейн (А4х3).pdf","12560.286.01")</f>
        <v>12560.286.01</v>
      </c>
      <c r="C81" s="25" t="s">
        <v>32</v>
      </c>
      <c r="D81" s="19">
        <v>81</v>
      </c>
      <c r="E81" s="25" t="s">
        <v>138</v>
      </c>
      <c r="I81" s="51">
        <v>81</v>
      </c>
      <c r="J81" s="26">
        <v>14</v>
      </c>
      <c r="K81" s="28" t="s">
        <v>171</v>
      </c>
      <c r="L81" s="41" t="s">
        <v>51</v>
      </c>
      <c r="M81" s="25" t="s">
        <v>50</v>
      </c>
      <c r="N81">
        <v>200</v>
      </c>
      <c r="O81">
        <v>200</v>
      </c>
      <c r="P81">
        <v>200</v>
      </c>
      <c r="Q81">
        <v>180</v>
      </c>
      <c r="R81">
        <v>180</v>
      </c>
      <c r="S81">
        <v>960</v>
      </c>
      <c r="T81" s="55"/>
      <c r="V81">
        <v>57</v>
      </c>
      <c r="W81" t="s">
        <v>136</v>
      </c>
      <c r="X81" t="s">
        <v>137</v>
      </c>
      <c r="Y81">
        <v>400</v>
      </c>
      <c r="Z81">
        <v>400</v>
      </c>
      <c r="AA81">
        <v>400</v>
      </c>
      <c r="AB81">
        <v>360</v>
      </c>
      <c r="AC81">
        <v>360</v>
      </c>
      <c r="AD81">
        <v>1920</v>
      </c>
    </row>
    <row r="82" spans="2:30" x14ac:dyDescent="0.25">
      <c r="B82" s="9" t="str">
        <f>HYPERLINK("\\mycloudpr2100\ПДО учет\ММЗ\Проект 12560\12560.286.02 Упор (А2).pdf","12560.286.02")</f>
        <v>12560.286.02</v>
      </c>
      <c r="C82" s="25" t="s">
        <v>118</v>
      </c>
      <c r="D82" s="19">
        <v>82</v>
      </c>
      <c r="E82" s="25" t="s">
        <v>139</v>
      </c>
      <c r="I82" s="51">
        <v>82</v>
      </c>
      <c r="J82" s="26">
        <v>15</v>
      </c>
      <c r="K82" s="28" t="s">
        <v>171</v>
      </c>
      <c r="L82" s="41" t="s">
        <v>52</v>
      </c>
      <c r="M82" s="25" t="s">
        <v>32</v>
      </c>
      <c r="N82">
        <v>200</v>
      </c>
      <c r="O82">
        <v>200</v>
      </c>
      <c r="P82">
        <v>200</v>
      </c>
      <c r="Q82">
        <v>180</v>
      </c>
      <c r="R82">
        <v>180</v>
      </c>
      <c r="S82">
        <v>960</v>
      </c>
      <c r="T82" s="55"/>
      <c r="W82" t="s">
        <v>138</v>
      </c>
      <c r="X82" t="s">
        <v>32</v>
      </c>
    </row>
    <row r="83" spans="2:30" x14ac:dyDescent="0.25">
      <c r="B83" s="9" t="str">
        <f>HYPERLINK("\\mycloudpr2100\ПДО учет\ММЗ\Проект 12560\12560.286.03 Пружина (А2).pdf","12560.286.03")</f>
        <v>12560.286.03</v>
      </c>
      <c r="C83" s="25" t="s">
        <v>121</v>
      </c>
      <c r="D83" s="19">
        <v>83</v>
      </c>
      <c r="E83" s="25" t="s">
        <v>140</v>
      </c>
      <c r="I83" s="51">
        <v>83</v>
      </c>
      <c r="J83" s="26">
        <v>16</v>
      </c>
      <c r="K83" s="28" t="s">
        <v>171</v>
      </c>
      <c r="L83" s="41" t="s">
        <v>53</v>
      </c>
      <c r="M83" s="25" t="s">
        <v>32</v>
      </c>
      <c r="N83">
        <v>200</v>
      </c>
      <c r="O83">
        <v>200</v>
      </c>
      <c r="P83">
        <v>200</v>
      </c>
      <c r="Q83">
        <v>180</v>
      </c>
      <c r="R83">
        <v>180</v>
      </c>
      <c r="S83">
        <v>960</v>
      </c>
      <c r="T83" s="55"/>
      <c r="W83" t="s">
        <v>139</v>
      </c>
      <c r="X83" t="s">
        <v>118</v>
      </c>
    </row>
    <row r="84" spans="2:30" x14ac:dyDescent="0.25">
      <c r="B84" s="9" t="str">
        <f>HYPERLINK("\\mycloudpr2100\ПДО учет\ММЗ\Проект 12560\12560.286.04 Втулка (А3).pdf","12560.286.04")</f>
        <v>12560.286.04</v>
      </c>
      <c r="C84" s="25" t="s">
        <v>83</v>
      </c>
      <c r="D84" s="19">
        <v>84</v>
      </c>
      <c r="E84" s="25" t="s">
        <v>141</v>
      </c>
      <c r="I84" s="51">
        <v>84</v>
      </c>
      <c r="J84" s="26">
        <v>17</v>
      </c>
      <c r="K84" s="28" t="s">
        <v>171</v>
      </c>
      <c r="L84" s="41" t="s">
        <v>54</v>
      </c>
      <c r="M84" s="25" t="s">
        <v>32</v>
      </c>
      <c r="N84">
        <v>400</v>
      </c>
      <c r="O84">
        <v>400</v>
      </c>
      <c r="P84">
        <v>400</v>
      </c>
      <c r="Q84">
        <v>360</v>
      </c>
      <c r="R84">
        <v>360</v>
      </c>
      <c r="S84">
        <v>1920</v>
      </c>
      <c r="T84" s="55"/>
      <c r="W84" t="s">
        <v>140</v>
      </c>
      <c r="X84" t="s">
        <v>121</v>
      </c>
    </row>
    <row r="85" spans="2:30" x14ac:dyDescent="0.25">
      <c r="B85" s="9" t="str">
        <f>HYPERLINK("\\mycloudpr2100\ПДО учет\ММЗ\Проект 12560\12560.286.05 Пружина (А2).pdf","12560.286.05")</f>
        <v>12560.286.05</v>
      </c>
      <c r="C85" s="25" t="s">
        <v>121</v>
      </c>
      <c r="D85" s="19">
        <v>85</v>
      </c>
      <c r="E85" s="25" t="s">
        <v>142</v>
      </c>
      <c r="I85" s="51">
        <v>85</v>
      </c>
      <c r="J85" s="26">
        <v>18</v>
      </c>
      <c r="K85" s="28" t="s">
        <v>171</v>
      </c>
      <c r="L85" s="41" t="s">
        <v>55</v>
      </c>
      <c r="M85" s="25" t="s">
        <v>56</v>
      </c>
      <c r="N85">
        <v>200</v>
      </c>
      <c r="O85">
        <v>200</v>
      </c>
      <c r="P85">
        <v>200</v>
      </c>
      <c r="Q85">
        <v>180</v>
      </c>
      <c r="R85">
        <v>180</v>
      </c>
      <c r="S85">
        <v>960</v>
      </c>
      <c r="T85" s="55"/>
      <c r="W85" t="s">
        <v>141</v>
      </c>
      <c r="X85" t="s">
        <v>83</v>
      </c>
    </row>
    <row r="86" spans="2:30" x14ac:dyDescent="0.25">
      <c r="B86" s="9" t="str">
        <f>HYPERLINK("\\mycloudpr2100\ПДО учет\ММЗ\Проект 12560\12560.286.06 Болт (А3).pdf","12560.286.06")</f>
        <v>12560.286.06</v>
      </c>
      <c r="C86" s="25" t="s">
        <v>109</v>
      </c>
      <c r="D86" s="19">
        <v>86</v>
      </c>
      <c r="E86" s="25" t="s">
        <v>143</v>
      </c>
      <c r="I86" s="51">
        <v>86</v>
      </c>
      <c r="J86" s="26">
        <v>19</v>
      </c>
      <c r="K86" s="28" t="s">
        <v>171</v>
      </c>
      <c r="L86" s="41" t="s">
        <v>57</v>
      </c>
      <c r="M86" s="25" t="s">
        <v>58</v>
      </c>
      <c r="N86">
        <v>200</v>
      </c>
      <c r="O86">
        <v>200</v>
      </c>
      <c r="P86">
        <v>200</v>
      </c>
      <c r="Q86">
        <v>180</v>
      </c>
      <c r="R86">
        <v>180</v>
      </c>
      <c r="S86">
        <v>960</v>
      </c>
      <c r="T86" s="55"/>
      <c r="W86" t="s">
        <v>142</v>
      </c>
      <c r="X86" t="s">
        <v>121</v>
      </c>
    </row>
    <row r="87" spans="2:30" x14ac:dyDescent="0.25">
      <c r="B87" s="9" t="str">
        <f>HYPERLINK("\\mycloudpr2100\ПДО учет\ММЗ\Проект 12560\12560.295.01 Кронштейн двигателя (А4х3).pdf","12560.295.01")</f>
        <v>12560.295.01</v>
      </c>
      <c r="C87" s="25" t="s">
        <v>145</v>
      </c>
      <c r="D87" s="19">
        <v>87</v>
      </c>
      <c r="E87" s="25" t="s">
        <v>144</v>
      </c>
      <c r="I87" s="51">
        <v>87</v>
      </c>
      <c r="J87" s="25"/>
      <c r="K87" s="28"/>
      <c r="L87" s="49"/>
      <c r="M87" s="49"/>
      <c r="T87" s="55"/>
      <c r="W87" t="s">
        <v>143</v>
      </c>
      <c r="X87" t="s">
        <v>109</v>
      </c>
    </row>
    <row r="88" spans="2:30" x14ac:dyDescent="0.25">
      <c r="B88" s="9" t="str">
        <f>HYPERLINK("\\mycloudpr2100\ПДО учет\ММЗ\Проект 12560\12560.295.01 Кронштейн двигателя (А4х3).pdf","12560.295.01-01")</f>
        <v>12560.295.01-01</v>
      </c>
      <c r="C88" s="25" t="s">
        <v>145</v>
      </c>
      <c r="D88" s="19">
        <v>88</v>
      </c>
      <c r="E88" s="25" t="s">
        <v>146</v>
      </c>
      <c r="I88" s="51">
        <v>88</v>
      </c>
      <c r="J88" s="26">
        <v>21</v>
      </c>
      <c r="K88" s="28" t="s">
        <v>171</v>
      </c>
      <c r="L88" s="41" t="s">
        <v>66</v>
      </c>
      <c r="M88" s="25" t="s">
        <v>67</v>
      </c>
      <c r="N88">
        <v>600</v>
      </c>
      <c r="O88">
        <v>600</v>
      </c>
      <c r="P88">
        <v>600</v>
      </c>
      <c r="Q88">
        <v>540</v>
      </c>
      <c r="R88">
        <v>540</v>
      </c>
      <c r="S88">
        <v>2880</v>
      </c>
      <c r="T88" s="55"/>
      <c r="V88">
        <v>58</v>
      </c>
      <c r="W88" t="s">
        <v>144</v>
      </c>
      <c r="X88" t="s">
        <v>145</v>
      </c>
      <c r="Y88">
        <v>200</v>
      </c>
      <c r="Z88">
        <v>200</v>
      </c>
      <c r="AA88">
        <v>200</v>
      </c>
      <c r="AB88">
        <v>180</v>
      </c>
      <c r="AC88">
        <v>180</v>
      </c>
      <c r="AD88">
        <v>960</v>
      </c>
    </row>
    <row r="89" spans="2:30" x14ac:dyDescent="0.25">
      <c r="B89" s="9" t="str">
        <f>HYPERLINK("\\mycloudpr2100\ПДО учет\ММЗ\Проект 12560\12560.298.07 Рамка центральная (А3).pdf","12560.298.07")</f>
        <v>12560.298.07</v>
      </c>
      <c r="C89" s="25" t="s">
        <v>148</v>
      </c>
      <c r="D89" s="19">
        <v>89</v>
      </c>
      <c r="E89" s="25" t="s">
        <v>147</v>
      </c>
      <c r="I89" s="51">
        <v>89</v>
      </c>
      <c r="J89" s="26">
        <v>22</v>
      </c>
      <c r="K89" s="28" t="s">
        <v>171</v>
      </c>
      <c r="L89" s="41" t="s">
        <v>68</v>
      </c>
      <c r="M89" s="25" t="s">
        <v>69</v>
      </c>
      <c r="N89">
        <v>200</v>
      </c>
      <c r="O89">
        <v>200</v>
      </c>
      <c r="P89">
        <v>200</v>
      </c>
      <c r="Q89">
        <v>180</v>
      </c>
      <c r="R89">
        <v>180</v>
      </c>
      <c r="S89">
        <v>960</v>
      </c>
      <c r="T89" s="55"/>
      <c r="V89">
        <v>59</v>
      </c>
      <c r="W89" t="s">
        <v>146</v>
      </c>
      <c r="X89" t="s">
        <v>145</v>
      </c>
      <c r="Y89">
        <v>200</v>
      </c>
      <c r="Z89">
        <v>200</v>
      </c>
      <c r="AA89">
        <v>200</v>
      </c>
      <c r="AB89">
        <v>180</v>
      </c>
      <c r="AC89">
        <v>180</v>
      </c>
      <c r="AD89">
        <v>960</v>
      </c>
    </row>
    <row r="90" spans="2:30" x14ac:dyDescent="0.25">
      <c r="B90" s="9" t="str">
        <f>HYPERLINK("\\mycloudpr2100\ПДО учет\ММЗ\Проект 12560\12560.298.08 Рамка боковая (А3).pdf","12560.298.08")</f>
        <v>12560.298.08</v>
      </c>
      <c r="C90" s="25" t="s">
        <v>150</v>
      </c>
      <c r="D90" s="19">
        <v>90</v>
      </c>
      <c r="E90" s="25" t="s">
        <v>149</v>
      </c>
      <c r="I90" s="51">
        <v>90</v>
      </c>
      <c r="J90" s="26">
        <v>23</v>
      </c>
      <c r="K90" s="28" t="s">
        <v>171</v>
      </c>
      <c r="L90" s="41" t="s">
        <v>70</v>
      </c>
      <c r="M90" s="25" t="s">
        <v>32</v>
      </c>
      <c r="N90">
        <v>200</v>
      </c>
      <c r="O90">
        <v>200</v>
      </c>
      <c r="P90">
        <v>200</v>
      </c>
      <c r="Q90">
        <v>180</v>
      </c>
      <c r="R90">
        <v>180</v>
      </c>
      <c r="S90">
        <v>960</v>
      </c>
      <c r="T90" s="55"/>
      <c r="V90">
        <v>60</v>
      </c>
      <c r="W90" t="s">
        <v>147</v>
      </c>
      <c r="X90" t="s">
        <v>148</v>
      </c>
      <c r="Y90">
        <v>200</v>
      </c>
      <c r="Z90">
        <v>200</v>
      </c>
      <c r="AA90">
        <v>200</v>
      </c>
      <c r="AB90">
        <v>180</v>
      </c>
      <c r="AC90">
        <v>180</v>
      </c>
      <c r="AD90">
        <v>960</v>
      </c>
    </row>
    <row r="91" spans="2:30" x14ac:dyDescent="0.25">
      <c r="B91" s="9" t="str">
        <f>HYPERLINK("\\mycloudpr2100\ПДО учет\ММЗ\Проект 12560\12560.320.02 Кронштейн разъемов двигателя (А2).pdf","12560.320.02")</f>
        <v>12560.320.02</v>
      </c>
      <c r="C91" s="25" t="s">
        <v>152</v>
      </c>
      <c r="D91" s="19">
        <v>91</v>
      </c>
      <c r="E91" s="25" t="s">
        <v>151</v>
      </c>
      <c r="I91" s="51">
        <v>91</v>
      </c>
      <c r="J91" s="26">
        <v>24</v>
      </c>
      <c r="K91" s="28" t="s">
        <v>171</v>
      </c>
      <c r="L91" s="41" t="s">
        <v>71</v>
      </c>
      <c r="M91" s="25" t="s">
        <v>72</v>
      </c>
      <c r="N91">
        <v>200</v>
      </c>
      <c r="O91">
        <v>200</v>
      </c>
      <c r="P91">
        <v>200</v>
      </c>
      <c r="Q91">
        <v>180</v>
      </c>
      <c r="R91">
        <v>180</v>
      </c>
      <c r="S91">
        <v>960</v>
      </c>
      <c r="T91" s="55"/>
      <c r="V91">
        <v>61</v>
      </c>
      <c r="W91" t="s">
        <v>149</v>
      </c>
      <c r="X91" t="s">
        <v>150</v>
      </c>
      <c r="Y91">
        <v>400</v>
      </c>
      <c r="Z91">
        <v>400</v>
      </c>
      <c r="AA91">
        <v>400</v>
      </c>
      <c r="AB91">
        <v>360</v>
      </c>
      <c r="AC91">
        <v>360</v>
      </c>
      <c r="AD91">
        <v>1920</v>
      </c>
    </row>
    <row r="92" spans="2:30" x14ac:dyDescent="0.25">
      <c r="B92" s="9" t="str">
        <f>HYPERLINK("\\mycloudpr2100\ПДО учет\ММЗ\Проект 12560\12560.320.03 Кронштейн разьема привода (А3).pdf","12560.320.03")</f>
        <v>12560.320.03</v>
      </c>
      <c r="C92" s="25" t="s">
        <v>154</v>
      </c>
      <c r="D92" s="19">
        <v>92</v>
      </c>
      <c r="E92" s="25" t="s">
        <v>153</v>
      </c>
      <c r="I92" s="51">
        <v>92</v>
      </c>
      <c r="J92" s="26">
        <v>25</v>
      </c>
      <c r="K92" s="28" t="s">
        <v>171</v>
      </c>
      <c r="L92" s="41" t="s">
        <v>73</v>
      </c>
      <c r="M92" s="25" t="s">
        <v>32</v>
      </c>
      <c r="N92">
        <v>200</v>
      </c>
      <c r="O92">
        <v>200</v>
      </c>
      <c r="P92">
        <v>200</v>
      </c>
      <c r="Q92">
        <v>180</v>
      </c>
      <c r="R92">
        <v>180</v>
      </c>
      <c r="S92">
        <v>960</v>
      </c>
      <c r="T92" s="55"/>
      <c r="V92">
        <v>62</v>
      </c>
      <c r="W92" t="s">
        <v>151</v>
      </c>
      <c r="X92" t="s">
        <v>152</v>
      </c>
      <c r="Y92">
        <v>200</v>
      </c>
      <c r="Z92">
        <v>200</v>
      </c>
      <c r="AA92">
        <v>200</v>
      </c>
      <c r="AB92">
        <v>180</v>
      </c>
      <c r="AC92">
        <v>180</v>
      </c>
      <c r="AD92">
        <v>960</v>
      </c>
    </row>
    <row r="93" spans="2:30" x14ac:dyDescent="0.25">
      <c r="B93" s="9" t="str">
        <f>HYPERLINK("\\mycloudpr2100\ПДО учет\ММЗ\Проект 12560\12560.320.07 Кронштейн (А3).pdf","12560.320.07")</f>
        <v>12560.320.07</v>
      </c>
      <c r="C93" s="25" t="s">
        <v>32</v>
      </c>
      <c r="D93" s="19">
        <v>93</v>
      </c>
      <c r="E93" s="25" t="s">
        <v>155</v>
      </c>
      <c r="I93" s="51">
        <v>93</v>
      </c>
      <c r="J93" s="26">
        <v>26</v>
      </c>
      <c r="K93" s="28" t="s">
        <v>171</v>
      </c>
      <c r="L93" s="41" t="s">
        <v>74</v>
      </c>
      <c r="M93" s="25" t="s">
        <v>50</v>
      </c>
      <c r="N93">
        <v>400</v>
      </c>
      <c r="O93">
        <v>400</v>
      </c>
      <c r="P93">
        <v>400</v>
      </c>
      <c r="Q93">
        <v>360</v>
      </c>
      <c r="R93">
        <v>360</v>
      </c>
      <c r="S93">
        <v>1920</v>
      </c>
      <c r="T93" s="55"/>
      <c r="V93">
        <v>63</v>
      </c>
      <c r="W93" t="s">
        <v>153</v>
      </c>
      <c r="X93" t="s">
        <v>154</v>
      </c>
      <c r="Y93">
        <v>200</v>
      </c>
      <c r="Z93">
        <v>200</v>
      </c>
      <c r="AA93">
        <v>200</v>
      </c>
      <c r="AB93">
        <v>180</v>
      </c>
      <c r="AC93">
        <v>180</v>
      </c>
      <c r="AD93">
        <v>960</v>
      </c>
    </row>
    <row r="94" spans="2:30" x14ac:dyDescent="0.25">
      <c r="B94" s="9" t="str">
        <f>HYPERLINK("\\mycloudpr2100\ПДО учет\ММЗ\Проект 12560\12560.338.01 Пластина (А3).pdf","12560.338.01")</f>
        <v>12560.338.01</v>
      </c>
      <c r="C94" s="25" t="s">
        <v>77</v>
      </c>
      <c r="D94" s="19">
        <v>94</v>
      </c>
      <c r="E94" s="25" t="s">
        <v>156</v>
      </c>
      <c r="I94" s="51">
        <v>94</v>
      </c>
      <c r="J94" s="26">
        <v>27</v>
      </c>
      <c r="K94" s="28" t="s">
        <v>171</v>
      </c>
      <c r="L94" s="41" t="s">
        <v>75</v>
      </c>
      <c r="M94" s="25" t="s">
        <v>50</v>
      </c>
      <c r="N94">
        <v>200</v>
      </c>
      <c r="O94">
        <v>200</v>
      </c>
      <c r="P94">
        <v>200</v>
      </c>
      <c r="Q94">
        <v>180</v>
      </c>
      <c r="R94">
        <v>180</v>
      </c>
      <c r="S94">
        <v>960</v>
      </c>
      <c r="T94" s="55"/>
      <c r="V94">
        <v>64</v>
      </c>
      <c r="W94" t="s">
        <v>155</v>
      </c>
      <c r="X94" t="s">
        <v>32</v>
      </c>
      <c r="Y94">
        <v>200</v>
      </c>
      <c r="Z94">
        <v>200</v>
      </c>
      <c r="AA94">
        <v>200</v>
      </c>
      <c r="AB94">
        <v>180</v>
      </c>
      <c r="AC94">
        <v>180</v>
      </c>
      <c r="AD94">
        <v>960</v>
      </c>
    </row>
    <row r="95" spans="2:30" x14ac:dyDescent="0.25">
      <c r="B95" s="9" t="str">
        <f>HYPERLINK("\\mycloudpr2100\ПДО учет\ММЗ\Проект 12560\12560.340.03 Кольцо (А4).pdf","12560.340.03")</f>
        <v>12560.340.03</v>
      </c>
      <c r="C95" s="25" t="s">
        <v>132</v>
      </c>
      <c r="D95" s="19">
        <v>95</v>
      </c>
      <c r="E95" s="25" t="s">
        <v>157</v>
      </c>
      <c r="I95" s="51">
        <v>95</v>
      </c>
      <c r="J95" s="26">
        <v>28</v>
      </c>
      <c r="K95" s="28" t="s">
        <v>171</v>
      </c>
      <c r="L95" s="41" t="s">
        <v>76</v>
      </c>
      <c r="M95" s="25" t="s">
        <v>77</v>
      </c>
      <c r="N95">
        <v>200</v>
      </c>
      <c r="O95">
        <v>200</v>
      </c>
      <c r="P95">
        <v>200</v>
      </c>
      <c r="Q95">
        <v>180</v>
      </c>
      <c r="R95">
        <v>180</v>
      </c>
      <c r="S95">
        <v>960</v>
      </c>
      <c r="T95" s="55"/>
      <c r="V95">
        <v>65</v>
      </c>
      <c r="W95" t="s">
        <v>156</v>
      </c>
      <c r="X95" t="s">
        <v>77</v>
      </c>
      <c r="Y95">
        <v>200</v>
      </c>
      <c r="Z95">
        <v>200</v>
      </c>
      <c r="AA95">
        <v>200</v>
      </c>
      <c r="AB95">
        <v>180</v>
      </c>
      <c r="AC95">
        <v>180</v>
      </c>
      <c r="AD95">
        <v>960</v>
      </c>
    </row>
    <row r="96" spans="2:30" x14ac:dyDescent="0.25">
      <c r="B96" s="9" t="str">
        <f>HYPERLINK("\\mycloudpr2100\ПДО учет\ММЗ\Проект 12560\12560.340.04 Шайба (А4).pdf","12560.340.04")</f>
        <v>12560.340.04</v>
      </c>
      <c r="C96" s="25" t="s">
        <v>106</v>
      </c>
      <c r="D96" s="19">
        <v>96</v>
      </c>
      <c r="E96" s="25" t="s">
        <v>158</v>
      </c>
      <c r="I96" s="51">
        <v>96</v>
      </c>
      <c r="J96" s="26">
        <v>29</v>
      </c>
      <c r="K96" s="28" t="s">
        <v>171</v>
      </c>
      <c r="L96" s="41" t="s">
        <v>78</v>
      </c>
      <c r="M96" s="25" t="s">
        <v>79</v>
      </c>
      <c r="N96">
        <v>1000</v>
      </c>
      <c r="O96">
        <v>1000</v>
      </c>
      <c r="P96">
        <v>1000</v>
      </c>
      <c r="Q96">
        <v>900</v>
      </c>
      <c r="R96">
        <v>900</v>
      </c>
      <c r="S96">
        <v>4800</v>
      </c>
      <c r="T96" s="55"/>
      <c r="V96">
        <v>66</v>
      </c>
      <c r="W96" t="s">
        <v>157</v>
      </c>
      <c r="X96" t="s">
        <v>132</v>
      </c>
      <c r="Y96">
        <v>200</v>
      </c>
      <c r="Z96">
        <v>200</v>
      </c>
      <c r="AA96">
        <v>200</v>
      </c>
      <c r="AB96">
        <v>180</v>
      </c>
      <c r="AC96">
        <v>180</v>
      </c>
      <c r="AD96">
        <v>960</v>
      </c>
    </row>
    <row r="97" spans="2:30" x14ac:dyDescent="0.25">
      <c r="B97" s="9" t="str">
        <f>HYPERLINK("\\mycloudpr2100\ПДО учет\ММЗ\Проект 12560\12560.370.05 Труба (А3).pdf","12560.370.05")</f>
        <v>12560.370.05</v>
      </c>
      <c r="C97" s="25" t="s">
        <v>160</v>
      </c>
      <c r="D97" s="19">
        <v>97</v>
      </c>
      <c r="E97" s="25" t="s">
        <v>159</v>
      </c>
      <c r="I97" s="51">
        <v>97</v>
      </c>
      <c r="J97" s="26">
        <v>30</v>
      </c>
      <c r="K97" s="28" t="s">
        <v>171</v>
      </c>
      <c r="L97" s="41" t="s">
        <v>80</v>
      </c>
      <c r="M97" s="25" t="s">
        <v>81</v>
      </c>
      <c r="N97">
        <v>1000</v>
      </c>
      <c r="O97">
        <v>1000</v>
      </c>
      <c r="P97">
        <v>1000</v>
      </c>
      <c r="Q97">
        <v>900</v>
      </c>
      <c r="R97">
        <v>900</v>
      </c>
      <c r="S97">
        <v>4800</v>
      </c>
      <c r="T97" s="55"/>
      <c r="V97">
        <v>67</v>
      </c>
      <c r="W97" t="s">
        <v>158</v>
      </c>
      <c r="X97" t="s">
        <v>106</v>
      </c>
      <c r="Y97">
        <v>200</v>
      </c>
      <c r="Z97">
        <v>200</v>
      </c>
      <c r="AA97">
        <v>200</v>
      </c>
      <c r="AB97">
        <v>180</v>
      </c>
      <c r="AC97">
        <v>180</v>
      </c>
      <c r="AD97">
        <v>960</v>
      </c>
    </row>
    <row r="98" spans="2:30" x14ac:dyDescent="0.25">
      <c r="B98" s="9" t="str">
        <f>HYPERLINK("\\mycloudpr2100\ПДО учет\ММЗ\Проект 12560\12560.370.06 Кронштейн (А3).pdf","12560.370.06")</f>
        <v>12560.370.06</v>
      </c>
      <c r="C98" s="25" t="s">
        <v>32</v>
      </c>
      <c r="D98" s="19">
        <v>98</v>
      </c>
      <c r="E98" s="25" t="s">
        <v>161</v>
      </c>
      <c r="I98" s="51">
        <v>98</v>
      </c>
      <c r="J98" s="26">
        <v>31</v>
      </c>
      <c r="K98" s="28" t="s">
        <v>171</v>
      </c>
      <c r="L98" s="41" t="s">
        <v>82</v>
      </c>
      <c r="M98" s="25" t="s">
        <v>83</v>
      </c>
      <c r="N98">
        <v>600</v>
      </c>
      <c r="O98">
        <v>600</v>
      </c>
      <c r="P98">
        <v>600</v>
      </c>
      <c r="Q98">
        <v>540</v>
      </c>
      <c r="R98">
        <v>540</v>
      </c>
      <c r="S98">
        <v>2880</v>
      </c>
      <c r="T98" s="55"/>
      <c r="V98">
        <v>68</v>
      </c>
      <c r="W98" t="s">
        <v>159</v>
      </c>
      <c r="X98" t="s">
        <v>160</v>
      </c>
      <c r="Y98">
        <v>200</v>
      </c>
      <c r="Z98">
        <v>200</v>
      </c>
      <c r="AA98">
        <v>200</v>
      </c>
      <c r="AB98">
        <v>180</v>
      </c>
      <c r="AC98">
        <v>180</v>
      </c>
      <c r="AD98">
        <v>960</v>
      </c>
    </row>
    <row r="99" spans="2:30" x14ac:dyDescent="0.25">
      <c r="B99" s="9" t="str">
        <f>HYPERLINK("\\mycloudpr2100\ПДО учет\ММЗ\Проект 12560\12560.370.06 Кронштейн (А3).pdf","12560.370.06-01")</f>
        <v>12560.370.06-01</v>
      </c>
      <c r="C99" s="25" t="s">
        <v>32</v>
      </c>
      <c r="D99" s="19">
        <v>99</v>
      </c>
      <c r="E99" s="25" t="s">
        <v>162</v>
      </c>
      <c r="I99" s="51">
        <v>99</v>
      </c>
      <c r="J99" s="26">
        <v>32</v>
      </c>
      <c r="K99" s="28" t="s">
        <v>171</v>
      </c>
      <c r="L99" s="41" t="s">
        <v>84</v>
      </c>
      <c r="M99" s="25" t="s">
        <v>77</v>
      </c>
      <c r="N99">
        <v>400</v>
      </c>
      <c r="O99">
        <v>400</v>
      </c>
      <c r="P99">
        <v>400</v>
      </c>
      <c r="Q99">
        <v>360</v>
      </c>
      <c r="R99">
        <v>360</v>
      </c>
      <c r="S99">
        <v>1920</v>
      </c>
      <c r="T99" s="55"/>
      <c r="V99">
        <v>69</v>
      </c>
      <c r="W99" t="s">
        <v>161</v>
      </c>
      <c r="X99" t="s">
        <v>32</v>
      </c>
      <c r="Y99">
        <v>200</v>
      </c>
      <c r="Z99">
        <v>200</v>
      </c>
      <c r="AA99">
        <v>200</v>
      </c>
      <c r="AB99">
        <v>180</v>
      </c>
      <c r="AC99">
        <v>180</v>
      </c>
      <c r="AD99">
        <v>960</v>
      </c>
    </row>
    <row r="100" spans="2:30" x14ac:dyDescent="0.25">
      <c r="B100" s="9" t="str">
        <f>HYPERLINK("\\mycloudpr2100\ПДО учет\ММЗ\Проект 12560\12560.370.07 Хомут (А3).pdf","12560.370.07")</f>
        <v>12560.370.07</v>
      </c>
      <c r="C100" s="25" t="s">
        <v>23</v>
      </c>
      <c r="D100" s="19">
        <v>100</v>
      </c>
      <c r="E100" s="25" t="s">
        <v>163</v>
      </c>
      <c r="I100" s="51">
        <v>100</v>
      </c>
      <c r="J100" s="26">
        <v>33</v>
      </c>
      <c r="K100" s="28" t="s">
        <v>171</v>
      </c>
      <c r="L100" s="41" t="s">
        <v>85</v>
      </c>
      <c r="M100" s="25" t="s">
        <v>86</v>
      </c>
      <c r="N100">
        <v>400</v>
      </c>
      <c r="O100">
        <v>400</v>
      </c>
      <c r="P100">
        <v>400</v>
      </c>
      <c r="Q100">
        <v>360</v>
      </c>
      <c r="R100">
        <v>360</v>
      </c>
      <c r="S100">
        <v>1920</v>
      </c>
      <c r="T100" s="55"/>
      <c r="V100">
        <v>70</v>
      </c>
      <c r="W100" t="s">
        <v>162</v>
      </c>
      <c r="X100" t="s">
        <v>32</v>
      </c>
      <c r="Y100">
        <v>200</v>
      </c>
      <c r="Z100">
        <v>200</v>
      </c>
      <c r="AA100">
        <v>200</v>
      </c>
      <c r="AB100">
        <v>180</v>
      </c>
      <c r="AC100">
        <v>180</v>
      </c>
      <c r="AD100">
        <v>960</v>
      </c>
    </row>
    <row r="101" spans="2:30" x14ac:dyDescent="0.25">
      <c r="B101" s="42" t="str">
        <f>HYPERLINK("\\mycloudpr2100\ПДО учет\ММЗ\Проект 12560\12560.370.15 Втулка дроссельная (А4).pdf","12560.370.15")</f>
        <v>12560.370.15</v>
      </c>
      <c r="C101" s="25" t="s">
        <v>165</v>
      </c>
      <c r="D101" s="19">
        <v>101</v>
      </c>
      <c r="E101" s="25" t="s">
        <v>164</v>
      </c>
      <c r="I101" s="51">
        <v>101</v>
      </c>
      <c r="J101" s="26">
        <v>34</v>
      </c>
      <c r="K101" s="28" t="s">
        <v>171</v>
      </c>
      <c r="L101" s="41" t="s">
        <v>87</v>
      </c>
      <c r="M101" s="25" t="s">
        <v>86</v>
      </c>
      <c r="N101">
        <v>600</v>
      </c>
      <c r="O101">
        <v>600</v>
      </c>
      <c r="P101">
        <v>600</v>
      </c>
      <c r="Q101">
        <v>540</v>
      </c>
      <c r="R101">
        <v>540</v>
      </c>
      <c r="S101">
        <v>2880</v>
      </c>
      <c r="T101" s="55"/>
      <c r="V101">
        <v>71</v>
      </c>
      <c r="W101" t="s">
        <v>163</v>
      </c>
      <c r="X101" t="s">
        <v>23</v>
      </c>
      <c r="Y101">
        <v>200</v>
      </c>
      <c r="Z101">
        <v>200</v>
      </c>
      <c r="AA101">
        <v>200</v>
      </c>
      <c r="AB101">
        <v>180</v>
      </c>
      <c r="AC101">
        <v>180</v>
      </c>
      <c r="AD101">
        <v>960</v>
      </c>
    </row>
    <row r="102" spans="2:30" x14ac:dyDescent="0.25">
      <c r="B102" s="9" t="str">
        <f>HYPERLINK("\\mycloudpr2100\ПДО учет\ММЗ\Проект 12560\12560.381.02 Гайка (А4).pdf","12560.381.02")</f>
        <v>12560.381.02</v>
      </c>
      <c r="C102" s="25" t="s">
        <v>40</v>
      </c>
      <c r="D102" s="19">
        <v>102</v>
      </c>
      <c r="E102" s="25" t="s">
        <v>166</v>
      </c>
      <c r="I102" s="51">
        <v>102</v>
      </c>
      <c r="J102" s="26">
        <v>35</v>
      </c>
      <c r="K102" s="28" t="s">
        <v>171</v>
      </c>
      <c r="L102" s="41" t="s">
        <v>88</v>
      </c>
      <c r="M102" s="25" t="s">
        <v>89</v>
      </c>
      <c r="N102">
        <v>600</v>
      </c>
      <c r="O102">
        <v>600</v>
      </c>
      <c r="P102">
        <v>600</v>
      </c>
      <c r="Q102">
        <v>540</v>
      </c>
      <c r="R102">
        <v>540</v>
      </c>
      <c r="S102">
        <v>2880</v>
      </c>
      <c r="T102" s="55"/>
      <c r="V102">
        <v>72</v>
      </c>
      <c r="W102" t="s">
        <v>164</v>
      </c>
      <c r="X102" t="s">
        <v>165</v>
      </c>
      <c r="Y102">
        <v>200</v>
      </c>
      <c r="Z102">
        <v>200</v>
      </c>
      <c r="AA102">
        <v>200</v>
      </c>
      <c r="AB102">
        <v>180</v>
      </c>
      <c r="AC102">
        <v>180</v>
      </c>
      <c r="AD102">
        <v>960</v>
      </c>
    </row>
    <row r="103" spans="2:30" x14ac:dyDescent="0.25">
      <c r="B103" s="9" t="str">
        <f>HYPERLINK("\\mycloudpr2100\ПДО учет\ММЗ\Проект 12560\12560.383.01 Кронштейн (А3).pdf","12560.383.01")</f>
        <v>12560.383.01</v>
      </c>
      <c r="C103" s="25" t="s">
        <v>32</v>
      </c>
      <c r="D103" s="19">
        <v>103</v>
      </c>
      <c r="E103" s="25" t="s">
        <v>167</v>
      </c>
      <c r="I103" s="51">
        <v>103</v>
      </c>
      <c r="J103" s="26">
        <v>36</v>
      </c>
      <c r="K103" s="28" t="s">
        <v>171</v>
      </c>
      <c r="L103" s="41" t="s">
        <v>90</v>
      </c>
      <c r="M103" s="25" t="s">
        <v>91</v>
      </c>
      <c r="N103">
        <v>400</v>
      </c>
      <c r="O103">
        <v>400</v>
      </c>
      <c r="P103">
        <v>400</v>
      </c>
      <c r="Q103">
        <v>360</v>
      </c>
      <c r="R103">
        <v>360</v>
      </c>
      <c r="S103">
        <v>1920</v>
      </c>
      <c r="T103" s="55"/>
      <c r="V103">
        <v>73</v>
      </c>
      <c r="W103" t="s">
        <v>166</v>
      </c>
      <c r="X103" t="s">
        <v>40</v>
      </c>
      <c r="Y103">
        <v>1000</v>
      </c>
      <c r="Z103">
        <v>1000</v>
      </c>
      <c r="AA103">
        <v>1000</v>
      </c>
      <c r="AB103">
        <v>900</v>
      </c>
      <c r="AC103">
        <v>900</v>
      </c>
      <c r="AD103">
        <v>4800</v>
      </c>
    </row>
    <row r="104" spans="2:30" x14ac:dyDescent="0.25">
      <c r="B104" s="9" t="str">
        <f>HYPERLINK("\\mycloudpr2100\ПДО учет\ММЗ\Проект 12560\12560.388.02 Прокладка (А4).pdf","12560.388.02")</f>
        <v>12560.388.02</v>
      </c>
      <c r="C104" s="25" t="s">
        <v>48</v>
      </c>
      <c r="D104" s="19">
        <v>104</v>
      </c>
      <c r="E104" s="25" t="s">
        <v>168</v>
      </c>
      <c r="I104" s="51">
        <v>104</v>
      </c>
      <c r="J104" s="26">
        <v>37</v>
      </c>
      <c r="K104" s="28" t="s">
        <v>171</v>
      </c>
      <c r="L104" s="41" t="s">
        <v>92</v>
      </c>
      <c r="M104" s="25" t="s">
        <v>91</v>
      </c>
      <c r="N104">
        <v>200</v>
      </c>
      <c r="O104">
        <v>200</v>
      </c>
      <c r="P104">
        <v>200</v>
      </c>
      <c r="Q104">
        <v>180</v>
      </c>
      <c r="R104">
        <v>180</v>
      </c>
      <c r="S104">
        <v>960</v>
      </c>
      <c r="T104" s="55"/>
      <c r="V104">
        <v>74</v>
      </c>
      <c r="W104" t="s">
        <v>167</v>
      </c>
      <c r="X104" t="s">
        <v>32</v>
      </c>
      <c r="Y104">
        <v>200</v>
      </c>
      <c r="Z104">
        <v>200</v>
      </c>
      <c r="AA104">
        <v>200</v>
      </c>
      <c r="AB104">
        <v>180</v>
      </c>
      <c r="AC104">
        <v>180</v>
      </c>
      <c r="AD104">
        <v>960</v>
      </c>
    </row>
    <row r="105" spans="2:30" x14ac:dyDescent="0.25">
      <c r="B105" s="9" t="str">
        <f>HYPERLINK("\\mycloudpr2100\ПДО учет\ММЗ\Проект 12560\12560.388.03 Прокладка (А4).pdf","12560.388.03")</f>
        <v>12560.388.03</v>
      </c>
      <c r="C105" s="25" t="s">
        <v>48</v>
      </c>
      <c r="D105" s="19">
        <v>105</v>
      </c>
      <c r="E105" s="25" t="s">
        <v>169</v>
      </c>
      <c r="I105" s="51">
        <v>105</v>
      </c>
      <c r="J105" s="26">
        <v>38</v>
      </c>
      <c r="K105" s="28" t="s">
        <v>171</v>
      </c>
      <c r="L105" s="41" t="s">
        <v>93</v>
      </c>
      <c r="M105" s="25" t="s">
        <v>77</v>
      </c>
      <c r="N105">
        <v>200</v>
      </c>
      <c r="O105">
        <v>200</v>
      </c>
      <c r="P105">
        <v>200</v>
      </c>
      <c r="Q105">
        <v>180</v>
      </c>
      <c r="R105">
        <v>180</v>
      </c>
      <c r="S105">
        <v>960</v>
      </c>
      <c r="T105" s="55"/>
      <c r="V105">
        <v>75</v>
      </c>
      <c r="W105" t="s">
        <v>168</v>
      </c>
      <c r="X105" t="s">
        <v>48</v>
      </c>
      <c r="Y105">
        <v>200</v>
      </c>
      <c r="Z105">
        <v>200</v>
      </c>
      <c r="AA105">
        <v>200</v>
      </c>
      <c r="AB105">
        <v>180</v>
      </c>
      <c r="AC105">
        <v>180</v>
      </c>
      <c r="AD105">
        <v>960</v>
      </c>
    </row>
    <row r="106" spans="2:30" x14ac:dyDescent="0.25">
      <c r="I106" s="51">
        <v>106</v>
      </c>
      <c r="J106" s="26">
        <v>39</v>
      </c>
      <c r="K106" s="28" t="s">
        <v>171</v>
      </c>
      <c r="L106" s="41" t="s">
        <v>94</v>
      </c>
      <c r="M106" s="25" t="s">
        <v>64</v>
      </c>
      <c r="N106">
        <v>200</v>
      </c>
      <c r="O106">
        <v>200</v>
      </c>
      <c r="P106">
        <v>200</v>
      </c>
      <c r="Q106">
        <v>180</v>
      </c>
      <c r="R106">
        <v>180</v>
      </c>
      <c r="S106">
        <v>960</v>
      </c>
      <c r="T106" s="56"/>
      <c r="V106">
        <v>76</v>
      </c>
      <c r="W106" t="s">
        <v>169</v>
      </c>
      <c r="X106" t="s">
        <v>48</v>
      </c>
      <c r="Y106">
        <v>200</v>
      </c>
      <c r="Z106">
        <v>200</v>
      </c>
      <c r="AA106">
        <v>200</v>
      </c>
      <c r="AB106">
        <v>180</v>
      </c>
      <c r="AC106">
        <v>180</v>
      </c>
      <c r="AD106">
        <v>960</v>
      </c>
    </row>
    <row r="107" spans="2:30" x14ac:dyDescent="0.25">
      <c r="I107" s="51">
        <v>107</v>
      </c>
      <c r="J107" s="26">
        <v>40</v>
      </c>
      <c r="K107" s="28" t="s">
        <v>171</v>
      </c>
      <c r="L107" s="41" t="s">
        <v>95</v>
      </c>
      <c r="M107" s="25" t="s">
        <v>96</v>
      </c>
      <c r="N107">
        <v>200</v>
      </c>
      <c r="O107">
        <v>200</v>
      </c>
      <c r="P107">
        <v>200</v>
      </c>
      <c r="Q107">
        <v>180</v>
      </c>
      <c r="R107">
        <v>180</v>
      </c>
      <c r="S107">
        <v>960</v>
      </c>
      <c r="T107" s="56"/>
    </row>
    <row r="108" spans="2:30" x14ac:dyDescent="0.25">
      <c r="I108" s="51">
        <v>108</v>
      </c>
      <c r="J108" s="26">
        <v>41</v>
      </c>
      <c r="K108" s="28" t="s">
        <v>171</v>
      </c>
      <c r="L108" s="41" t="s">
        <v>97</v>
      </c>
      <c r="M108" s="25" t="s">
        <v>98</v>
      </c>
      <c r="N108">
        <v>200</v>
      </c>
      <c r="O108">
        <v>200</v>
      </c>
      <c r="P108">
        <v>200</v>
      </c>
      <c r="Q108">
        <v>180</v>
      </c>
      <c r="R108">
        <v>180</v>
      </c>
      <c r="S108">
        <v>960</v>
      </c>
      <c r="T108" s="55"/>
    </row>
    <row r="109" spans="2:30" x14ac:dyDescent="0.25">
      <c r="I109" s="51">
        <v>109</v>
      </c>
      <c r="J109" s="26">
        <v>42</v>
      </c>
      <c r="K109" s="28" t="s">
        <v>171</v>
      </c>
      <c r="L109" s="41" t="s">
        <v>99</v>
      </c>
      <c r="M109" s="25" t="s">
        <v>100</v>
      </c>
      <c r="N109">
        <v>200</v>
      </c>
      <c r="O109">
        <v>200</v>
      </c>
      <c r="P109">
        <v>200</v>
      </c>
      <c r="Q109">
        <v>180</v>
      </c>
      <c r="R109">
        <v>180</v>
      </c>
      <c r="S109">
        <v>960</v>
      </c>
      <c r="T109" s="55"/>
    </row>
    <row r="110" spans="2:30" x14ac:dyDescent="0.25">
      <c r="I110" s="51">
        <v>110</v>
      </c>
      <c r="J110" s="26">
        <v>43</v>
      </c>
      <c r="K110" s="28" t="s">
        <v>171</v>
      </c>
      <c r="L110" s="41" t="s">
        <v>101</v>
      </c>
      <c r="M110" s="25" t="s">
        <v>50</v>
      </c>
      <c r="N110">
        <v>200</v>
      </c>
      <c r="O110">
        <v>200</v>
      </c>
      <c r="P110">
        <v>200</v>
      </c>
      <c r="Q110">
        <v>180</v>
      </c>
      <c r="R110">
        <v>180</v>
      </c>
      <c r="S110">
        <v>960</v>
      </c>
      <c r="T110" s="55"/>
    </row>
    <row r="111" spans="2:30" x14ac:dyDescent="0.25">
      <c r="I111" s="51">
        <v>111</v>
      </c>
      <c r="J111" s="26">
        <v>44</v>
      </c>
      <c r="K111" s="28" t="s">
        <v>171</v>
      </c>
      <c r="L111" s="41" t="s">
        <v>102</v>
      </c>
      <c r="M111" s="25" t="s">
        <v>50</v>
      </c>
      <c r="N111">
        <v>200</v>
      </c>
      <c r="O111">
        <v>200</v>
      </c>
      <c r="P111">
        <v>200</v>
      </c>
      <c r="Q111">
        <v>180</v>
      </c>
      <c r="R111">
        <v>180</v>
      </c>
      <c r="S111">
        <v>960</v>
      </c>
      <c r="T111" s="55"/>
    </row>
    <row r="112" spans="2:30" x14ac:dyDescent="0.25">
      <c r="I112" s="51">
        <v>112</v>
      </c>
      <c r="J112" s="26">
        <v>45</v>
      </c>
      <c r="K112" s="28" t="s">
        <v>171</v>
      </c>
      <c r="L112" s="41" t="s">
        <v>103</v>
      </c>
      <c r="M112" s="25" t="s">
        <v>50</v>
      </c>
      <c r="N112">
        <v>200</v>
      </c>
      <c r="O112">
        <v>200</v>
      </c>
      <c r="P112">
        <v>200</v>
      </c>
      <c r="Q112">
        <v>180</v>
      </c>
      <c r="R112">
        <v>180</v>
      </c>
      <c r="S112">
        <v>960</v>
      </c>
      <c r="T112" s="55"/>
    </row>
    <row r="113" spans="9:20" x14ac:dyDescent="0.25">
      <c r="I113" s="51">
        <v>113</v>
      </c>
      <c r="J113" s="26">
        <v>46</v>
      </c>
      <c r="K113" s="28" t="s">
        <v>171</v>
      </c>
      <c r="L113" s="41" t="s">
        <v>104</v>
      </c>
      <c r="M113" s="25" t="s">
        <v>50</v>
      </c>
      <c r="N113">
        <v>200</v>
      </c>
      <c r="O113">
        <v>200</v>
      </c>
      <c r="P113">
        <v>200</v>
      </c>
      <c r="Q113">
        <v>180</v>
      </c>
      <c r="R113">
        <v>180</v>
      </c>
      <c r="S113">
        <v>960</v>
      </c>
      <c r="T113" s="55"/>
    </row>
    <row r="114" spans="9:20" x14ac:dyDescent="0.25">
      <c r="I114" s="51">
        <v>114</v>
      </c>
      <c r="J114" s="26">
        <v>47</v>
      </c>
      <c r="K114" s="28" t="s">
        <v>171</v>
      </c>
      <c r="L114" s="41" t="s">
        <v>105</v>
      </c>
      <c r="M114" s="25" t="s">
        <v>106</v>
      </c>
      <c r="N114">
        <v>1200</v>
      </c>
      <c r="O114">
        <v>1200</v>
      </c>
      <c r="P114">
        <v>1200</v>
      </c>
      <c r="Q114">
        <v>1080</v>
      </c>
      <c r="R114">
        <v>1080</v>
      </c>
      <c r="S114">
        <v>5760</v>
      </c>
      <c r="T114" s="55"/>
    </row>
    <row r="115" spans="9:20" x14ac:dyDescent="0.25">
      <c r="I115" s="51">
        <v>115</v>
      </c>
      <c r="J115" s="26">
        <v>48</v>
      </c>
      <c r="K115" s="28" t="s">
        <v>171</v>
      </c>
      <c r="L115" s="41" t="s">
        <v>107</v>
      </c>
      <c r="M115" s="25" t="s">
        <v>23</v>
      </c>
      <c r="N115">
        <v>200</v>
      </c>
      <c r="O115">
        <v>200</v>
      </c>
      <c r="P115">
        <v>200</v>
      </c>
      <c r="Q115">
        <v>180</v>
      </c>
      <c r="R115">
        <v>180</v>
      </c>
      <c r="S115">
        <v>960</v>
      </c>
      <c r="T115" s="55"/>
    </row>
    <row r="116" spans="9:20" x14ac:dyDescent="0.25">
      <c r="I116" s="51">
        <v>116</v>
      </c>
      <c r="J116" s="26">
        <v>49</v>
      </c>
      <c r="K116" s="28" t="s">
        <v>171</v>
      </c>
      <c r="L116" s="41" t="s">
        <v>108</v>
      </c>
      <c r="M116" s="25" t="s">
        <v>109</v>
      </c>
      <c r="N116">
        <v>800</v>
      </c>
      <c r="O116">
        <v>800</v>
      </c>
      <c r="P116">
        <v>800</v>
      </c>
      <c r="Q116">
        <v>720</v>
      </c>
      <c r="R116">
        <v>720</v>
      </c>
      <c r="S116">
        <v>3840</v>
      </c>
      <c r="T116" s="55"/>
    </row>
    <row r="117" spans="9:20" x14ac:dyDescent="0.25">
      <c r="I117" s="51">
        <v>117</v>
      </c>
      <c r="J117" s="26">
        <v>50</v>
      </c>
      <c r="K117" s="28" t="s">
        <v>171</v>
      </c>
      <c r="L117" s="41" t="s">
        <v>110</v>
      </c>
      <c r="M117" s="25" t="s">
        <v>111</v>
      </c>
      <c r="N117">
        <v>200</v>
      </c>
      <c r="O117">
        <v>200</v>
      </c>
      <c r="P117">
        <v>200</v>
      </c>
      <c r="Q117">
        <v>180</v>
      </c>
      <c r="R117">
        <v>180</v>
      </c>
      <c r="S117">
        <v>960</v>
      </c>
      <c r="T117" s="55"/>
    </row>
    <row r="118" spans="9:20" x14ac:dyDescent="0.25">
      <c r="I118" s="51">
        <v>118</v>
      </c>
      <c r="J118" s="26">
        <v>51</v>
      </c>
      <c r="K118" s="28" t="s">
        <v>171</v>
      </c>
      <c r="L118" s="41" t="s">
        <v>112</v>
      </c>
      <c r="M118" s="25" t="s">
        <v>111</v>
      </c>
      <c r="N118">
        <v>200</v>
      </c>
      <c r="O118">
        <v>200</v>
      </c>
      <c r="P118">
        <v>200</v>
      </c>
      <c r="Q118">
        <v>180</v>
      </c>
      <c r="R118">
        <v>180</v>
      </c>
      <c r="S118">
        <v>960</v>
      </c>
      <c r="T118" s="55"/>
    </row>
    <row r="119" spans="9:20" x14ac:dyDescent="0.25">
      <c r="I119" s="51">
        <v>119</v>
      </c>
      <c r="J119" s="26">
        <v>52</v>
      </c>
      <c r="K119" s="28" t="s">
        <v>171</v>
      </c>
      <c r="L119" s="41" t="s">
        <v>113</v>
      </c>
      <c r="M119" s="25" t="s">
        <v>114</v>
      </c>
      <c r="N119">
        <v>200</v>
      </c>
      <c r="O119">
        <v>200</v>
      </c>
      <c r="P119">
        <v>200</v>
      </c>
      <c r="Q119">
        <v>180</v>
      </c>
      <c r="R119">
        <v>180</v>
      </c>
      <c r="S119">
        <v>960</v>
      </c>
      <c r="T119" s="55"/>
    </row>
    <row r="120" spans="9:20" x14ac:dyDescent="0.25">
      <c r="I120" s="51">
        <v>120</v>
      </c>
      <c r="J120" s="25"/>
      <c r="K120" s="28"/>
      <c r="L120" s="49"/>
      <c r="M120" s="49"/>
      <c r="T120" s="55"/>
    </row>
    <row r="121" spans="9:20" x14ac:dyDescent="0.25">
      <c r="I121" s="51">
        <v>121</v>
      </c>
      <c r="J121" s="26">
        <v>58</v>
      </c>
      <c r="K121" s="28" t="s">
        <v>171</v>
      </c>
      <c r="L121" s="41" t="s">
        <v>144</v>
      </c>
      <c r="M121" s="25" t="s">
        <v>145</v>
      </c>
      <c r="N121">
        <v>200</v>
      </c>
      <c r="O121">
        <v>200</v>
      </c>
      <c r="P121">
        <v>200</v>
      </c>
      <c r="Q121">
        <v>180</v>
      </c>
      <c r="R121">
        <v>180</v>
      </c>
      <c r="S121">
        <v>960</v>
      </c>
      <c r="T121" s="55"/>
    </row>
    <row r="122" spans="9:20" x14ac:dyDescent="0.25">
      <c r="I122" s="51">
        <v>122</v>
      </c>
      <c r="J122" s="26">
        <v>59</v>
      </c>
      <c r="K122" s="28" t="s">
        <v>171</v>
      </c>
      <c r="L122" s="41" t="s">
        <v>146</v>
      </c>
      <c r="M122" s="25" t="s">
        <v>145</v>
      </c>
      <c r="N122">
        <v>200</v>
      </c>
      <c r="O122">
        <v>200</v>
      </c>
      <c r="P122">
        <v>200</v>
      </c>
      <c r="Q122">
        <v>180</v>
      </c>
      <c r="R122">
        <v>180</v>
      </c>
      <c r="S122">
        <v>960</v>
      </c>
      <c r="T122" s="55"/>
    </row>
    <row r="123" spans="9:20" x14ac:dyDescent="0.25">
      <c r="I123" s="51">
        <v>123</v>
      </c>
      <c r="J123" s="26">
        <v>60</v>
      </c>
      <c r="K123" s="28" t="s">
        <v>171</v>
      </c>
      <c r="L123" s="41" t="s">
        <v>147</v>
      </c>
      <c r="M123" s="25" t="s">
        <v>148</v>
      </c>
      <c r="N123">
        <v>200</v>
      </c>
      <c r="O123">
        <v>200</v>
      </c>
      <c r="P123">
        <v>200</v>
      </c>
      <c r="Q123">
        <v>180</v>
      </c>
      <c r="R123">
        <v>180</v>
      </c>
      <c r="S123">
        <v>960</v>
      </c>
      <c r="T123" s="55"/>
    </row>
    <row r="124" spans="9:20" x14ac:dyDescent="0.25">
      <c r="I124" s="51">
        <v>124</v>
      </c>
      <c r="J124" s="26">
        <v>61</v>
      </c>
      <c r="K124" s="28" t="s">
        <v>171</v>
      </c>
      <c r="L124" s="41" t="s">
        <v>149</v>
      </c>
      <c r="M124" s="25" t="s">
        <v>150</v>
      </c>
      <c r="N124">
        <v>400</v>
      </c>
      <c r="O124">
        <v>400</v>
      </c>
      <c r="P124">
        <v>400</v>
      </c>
      <c r="Q124">
        <v>360</v>
      </c>
      <c r="R124">
        <v>360</v>
      </c>
      <c r="S124">
        <v>1920</v>
      </c>
      <c r="T124" s="55"/>
    </row>
    <row r="125" spans="9:20" x14ac:dyDescent="0.25">
      <c r="I125" s="51">
        <v>125</v>
      </c>
      <c r="J125" s="26">
        <v>62</v>
      </c>
      <c r="K125" s="28" t="s">
        <v>171</v>
      </c>
      <c r="L125" s="41" t="s">
        <v>151</v>
      </c>
      <c r="M125" s="25" t="s">
        <v>152</v>
      </c>
      <c r="N125">
        <v>200</v>
      </c>
      <c r="O125">
        <v>200</v>
      </c>
      <c r="P125">
        <v>200</v>
      </c>
      <c r="Q125">
        <v>180</v>
      </c>
      <c r="R125">
        <v>180</v>
      </c>
      <c r="S125">
        <v>960</v>
      </c>
      <c r="T125" s="55"/>
    </row>
    <row r="126" spans="9:20" x14ac:dyDescent="0.25">
      <c r="I126" s="51">
        <v>126</v>
      </c>
      <c r="J126" s="26">
        <v>63</v>
      </c>
      <c r="K126" s="28" t="s">
        <v>171</v>
      </c>
      <c r="L126" s="41" t="s">
        <v>153</v>
      </c>
      <c r="M126" s="25" t="s">
        <v>154</v>
      </c>
      <c r="N126">
        <v>200</v>
      </c>
      <c r="O126">
        <v>200</v>
      </c>
      <c r="P126">
        <v>200</v>
      </c>
      <c r="Q126">
        <v>180</v>
      </c>
      <c r="R126">
        <v>180</v>
      </c>
      <c r="S126">
        <v>960</v>
      </c>
      <c r="T126" s="55"/>
    </row>
    <row r="127" spans="9:20" x14ac:dyDescent="0.25">
      <c r="I127" s="51">
        <v>127</v>
      </c>
      <c r="J127" s="26">
        <v>64</v>
      </c>
      <c r="K127" s="28" t="s">
        <v>171</v>
      </c>
      <c r="L127" s="41" t="s">
        <v>155</v>
      </c>
      <c r="M127" s="25" t="s">
        <v>32</v>
      </c>
      <c r="N127">
        <v>200</v>
      </c>
      <c r="O127">
        <v>200</v>
      </c>
      <c r="P127">
        <v>200</v>
      </c>
      <c r="Q127">
        <v>180</v>
      </c>
      <c r="R127">
        <v>180</v>
      </c>
      <c r="S127">
        <v>960</v>
      </c>
      <c r="T127" s="55"/>
    </row>
    <row r="128" spans="9:20" x14ac:dyDescent="0.25">
      <c r="I128" s="51">
        <v>128</v>
      </c>
      <c r="J128" s="26">
        <v>65</v>
      </c>
      <c r="K128" s="28" t="s">
        <v>171</v>
      </c>
      <c r="L128" s="41" t="s">
        <v>156</v>
      </c>
      <c r="M128" s="25" t="s">
        <v>77</v>
      </c>
      <c r="N128">
        <v>200</v>
      </c>
      <c r="O128">
        <v>200</v>
      </c>
      <c r="P128">
        <v>200</v>
      </c>
      <c r="Q128">
        <v>180</v>
      </c>
      <c r="R128">
        <v>180</v>
      </c>
      <c r="S128">
        <v>960</v>
      </c>
      <c r="T128" s="55"/>
    </row>
    <row r="129" spans="9:20" x14ac:dyDescent="0.25">
      <c r="I129" s="51">
        <v>129</v>
      </c>
      <c r="J129" s="26">
        <v>66</v>
      </c>
      <c r="K129" s="28" t="s">
        <v>171</v>
      </c>
      <c r="L129" s="41" t="s">
        <v>157</v>
      </c>
      <c r="M129" s="25" t="s">
        <v>132</v>
      </c>
      <c r="N129">
        <v>200</v>
      </c>
      <c r="O129">
        <v>200</v>
      </c>
      <c r="P129">
        <v>200</v>
      </c>
      <c r="Q129">
        <v>180</v>
      </c>
      <c r="R129">
        <v>180</v>
      </c>
      <c r="S129">
        <v>960</v>
      </c>
      <c r="T129" s="55"/>
    </row>
    <row r="130" spans="9:20" x14ac:dyDescent="0.25">
      <c r="I130" s="51">
        <v>130</v>
      </c>
      <c r="J130" s="26">
        <v>67</v>
      </c>
      <c r="K130" s="28" t="s">
        <v>171</v>
      </c>
      <c r="L130" s="41" t="s">
        <v>158</v>
      </c>
      <c r="M130" s="25" t="s">
        <v>106</v>
      </c>
      <c r="N130">
        <v>200</v>
      </c>
      <c r="O130">
        <v>200</v>
      </c>
      <c r="P130">
        <v>200</v>
      </c>
      <c r="Q130">
        <v>180</v>
      </c>
      <c r="R130">
        <v>180</v>
      </c>
      <c r="S130">
        <v>960</v>
      </c>
      <c r="T130" s="55"/>
    </row>
    <row r="131" spans="9:20" x14ac:dyDescent="0.25">
      <c r="I131" s="51">
        <v>131</v>
      </c>
      <c r="J131" s="26">
        <v>68</v>
      </c>
      <c r="K131" s="28" t="s">
        <v>171</v>
      </c>
      <c r="L131" s="41" t="s">
        <v>159</v>
      </c>
      <c r="M131" s="25" t="s">
        <v>160</v>
      </c>
      <c r="N131">
        <v>200</v>
      </c>
      <c r="O131">
        <v>200</v>
      </c>
      <c r="P131">
        <v>200</v>
      </c>
      <c r="Q131">
        <v>180</v>
      </c>
      <c r="R131">
        <v>180</v>
      </c>
      <c r="S131">
        <v>960</v>
      </c>
      <c r="T131" s="55"/>
    </row>
    <row r="132" spans="9:20" x14ac:dyDescent="0.25">
      <c r="I132" s="51">
        <v>132</v>
      </c>
      <c r="J132" s="26">
        <v>69</v>
      </c>
      <c r="K132" s="28" t="s">
        <v>171</v>
      </c>
      <c r="L132" s="41" t="s">
        <v>161</v>
      </c>
      <c r="M132" s="25" t="s">
        <v>32</v>
      </c>
      <c r="N132">
        <v>200</v>
      </c>
      <c r="O132">
        <v>200</v>
      </c>
      <c r="P132">
        <v>200</v>
      </c>
      <c r="Q132">
        <v>180</v>
      </c>
      <c r="R132">
        <v>180</v>
      </c>
      <c r="S132">
        <v>960</v>
      </c>
      <c r="T132" s="55"/>
    </row>
    <row r="133" spans="9:20" x14ac:dyDescent="0.25">
      <c r="I133" s="51">
        <v>133</v>
      </c>
      <c r="J133" s="26">
        <v>70</v>
      </c>
      <c r="K133" s="28" t="s">
        <v>171</v>
      </c>
      <c r="L133" s="41" t="s">
        <v>162</v>
      </c>
      <c r="M133" s="25" t="s">
        <v>32</v>
      </c>
      <c r="N133">
        <v>200</v>
      </c>
      <c r="O133">
        <v>200</v>
      </c>
      <c r="P133">
        <v>200</v>
      </c>
      <c r="Q133">
        <v>180</v>
      </c>
      <c r="R133">
        <v>180</v>
      </c>
      <c r="S133">
        <v>960</v>
      </c>
      <c r="T133" s="55"/>
    </row>
    <row r="134" spans="9:20" x14ac:dyDescent="0.25">
      <c r="I134" s="51">
        <v>134</v>
      </c>
      <c r="J134" s="26">
        <v>71</v>
      </c>
      <c r="K134" s="28" t="s">
        <v>171</v>
      </c>
      <c r="L134" s="41" t="s">
        <v>163</v>
      </c>
      <c r="M134" s="25" t="s">
        <v>23</v>
      </c>
      <c r="N134">
        <v>200</v>
      </c>
      <c r="O134">
        <v>200</v>
      </c>
      <c r="P134">
        <v>200</v>
      </c>
      <c r="Q134">
        <v>180</v>
      </c>
      <c r="R134">
        <v>180</v>
      </c>
      <c r="S134">
        <v>960</v>
      </c>
      <c r="T134" s="55"/>
    </row>
    <row r="135" spans="9:20" x14ac:dyDescent="0.25">
      <c r="I135" s="51">
        <v>135</v>
      </c>
      <c r="J135" s="26">
        <v>72</v>
      </c>
      <c r="K135" s="28" t="s">
        <v>171</v>
      </c>
      <c r="L135" s="41" t="s">
        <v>164</v>
      </c>
      <c r="M135" s="25" t="s">
        <v>165</v>
      </c>
      <c r="N135">
        <v>200</v>
      </c>
      <c r="O135">
        <v>200</v>
      </c>
      <c r="P135">
        <v>200</v>
      </c>
      <c r="Q135">
        <v>180</v>
      </c>
      <c r="R135">
        <v>180</v>
      </c>
      <c r="S135">
        <v>960</v>
      </c>
      <c r="T135" s="55"/>
    </row>
    <row r="136" spans="9:20" x14ac:dyDescent="0.25">
      <c r="I136" s="51">
        <v>136</v>
      </c>
      <c r="J136" s="26">
        <v>73</v>
      </c>
      <c r="K136" s="28" t="s">
        <v>171</v>
      </c>
      <c r="L136" s="41" t="s">
        <v>166</v>
      </c>
      <c r="M136" s="25" t="s">
        <v>40</v>
      </c>
      <c r="N136">
        <v>1000</v>
      </c>
      <c r="O136">
        <v>1000</v>
      </c>
      <c r="P136">
        <v>1000</v>
      </c>
      <c r="Q136">
        <v>900</v>
      </c>
      <c r="R136">
        <v>900</v>
      </c>
      <c r="S136">
        <v>4800</v>
      </c>
      <c r="T136" s="56"/>
    </row>
    <row r="137" spans="9:20" x14ac:dyDescent="0.25">
      <c r="I137" s="51">
        <v>137</v>
      </c>
      <c r="J137" s="26">
        <v>74</v>
      </c>
      <c r="K137" s="28" t="s">
        <v>171</v>
      </c>
      <c r="L137" s="41" t="s">
        <v>167</v>
      </c>
      <c r="M137" s="25" t="s">
        <v>32</v>
      </c>
      <c r="N137">
        <v>200</v>
      </c>
      <c r="O137">
        <v>200</v>
      </c>
      <c r="P137">
        <v>200</v>
      </c>
      <c r="Q137">
        <v>180</v>
      </c>
      <c r="R137">
        <v>180</v>
      </c>
      <c r="S137">
        <v>960</v>
      </c>
      <c r="T137" s="56"/>
    </row>
    <row r="138" spans="9:20" x14ac:dyDescent="0.25">
      <c r="I138" s="51">
        <v>138</v>
      </c>
      <c r="J138" s="26">
        <v>75</v>
      </c>
      <c r="K138" s="28" t="s">
        <v>171</v>
      </c>
      <c r="L138" s="41" t="s">
        <v>168</v>
      </c>
      <c r="M138" s="25" t="s">
        <v>48</v>
      </c>
      <c r="N138">
        <v>200</v>
      </c>
      <c r="O138">
        <v>200</v>
      </c>
      <c r="P138">
        <v>200</v>
      </c>
      <c r="Q138">
        <v>180</v>
      </c>
      <c r="R138">
        <v>180</v>
      </c>
      <c r="S138">
        <v>960</v>
      </c>
      <c r="T138" s="56"/>
    </row>
    <row r="139" spans="9:20" x14ac:dyDescent="0.25">
      <c r="I139" s="51">
        <v>139</v>
      </c>
      <c r="J139" s="26">
        <v>76</v>
      </c>
      <c r="K139" s="28" t="s">
        <v>171</v>
      </c>
      <c r="L139" s="41" t="s">
        <v>169</v>
      </c>
      <c r="M139" s="25" t="s">
        <v>48</v>
      </c>
      <c r="N139">
        <v>200</v>
      </c>
      <c r="O139">
        <v>200</v>
      </c>
      <c r="P139">
        <v>200</v>
      </c>
      <c r="Q139">
        <v>180</v>
      </c>
      <c r="R139">
        <v>180</v>
      </c>
      <c r="S139">
        <v>960</v>
      </c>
      <c r="T139" s="56"/>
    </row>
  </sheetData>
  <autoFilter ref="I1:AE139" xr:uid="{BD841ADB-521F-49AA-9CAE-4FF08922F23B}"/>
  <sortState xmlns:xlrd2="http://schemas.microsoft.com/office/spreadsheetml/2017/richdata2" ref="I2:S140">
    <sortCondition ref="I1:I140"/>
  </sortState>
  <conditionalFormatting sqref="E27:E68 E70:E74 E79:E1048576 B78 E77 B75:B76 B69 E1">
    <cfRule type="duplicateValues" dxfId="3" priority="4"/>
  </conditionalFormatting>
  <conditionalFormatting sqref="L56 L49:L50 L38">
    <cfRule type="duplicateValues" dxfId="2" priority="2"/>
  </conditionalFormatting>
  <conditionalFormatting sqref="L55:L57 L141:L1048576 L61:L139 L43:L46 L33:L38 L1:L26 L48:L50">
    <cfRule type="duplicateValues" dxfId="1" priority="1"/>
  </conditionalFormatting>
  <conditionalFormatting sqref="L68 L141:L1048576 L120 L87 L79 L1"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B38AE2-3415-4DAD-BE59-C7B8BB2AC4E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Проект 12560</vt:lpstr>
      <vt:lpstr>Проект 12560 (2)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Ivan</cp:lastModifiedBy>
  <cp:lastPrinted>2026-08-27T09:01:46Z</cp:lastPrinted>
  <dcterms:created xsi:type="dcterms:W3CDTF">2015-06-05T18:19:34Z</dcterms:created>
  <dcterms:modified xsi:type="dcterms:W3CDTF">2026-08-27T10:31:29Z</dcterms:modified>
</cp:coreProperties>
</file>